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E6326486-6580-AC45-9DA0-EAD4DB9D4BA7}" xr6:coauthVersionLast="47" xr6:coauthVersionMax="47" xr10:uidLastSave="{00000000-0000-0000-0000-000000000000}"/>
  <bookViews>
    <workbookView xWindow="52640" yWindow="5260" windowWidth="30240" windowHeight="28740" activeTab="6"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5" i="36"/>
  <c r="D56" i="36"/>
  <c r="D57" i="36"/>
  <c r="D58" i="36"/>
  <c r="D59" i="36"/>
  <c r="D60" i="36"/>
  <c r="B6" i="47" l="1"/>
  <c r="C6" i="47" s="1"/>
  <c r="B20" i="47"/>
  <c r="D53" i="42"/>
  <c r="D50" i="42"/>
  <c r="D44" i="42"/>
  <c r="D47" i="42"/>
  <c r="B2" i="58"/>
  <c r="E35" i="62" l="1"/>
  <c r="E32" i="62"/>
  <c r="E29" i="62"/>
  <c r="E26" i="62"/>
  <c r="E15" i="62"/>
  <c r="E12"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E9" i="62" s="1"/>
  <c r="B6" i="62"/>
  <c r="C3" i="62"/>
  <c r="C12" i="61"/>
  <c r="C11" i="61"/>
  <c r="C10" i="61"/>
  <c r="C7" i="61"/>
  <c r="C6" i="61"/>
  <c r="C5" i="61"/>
  <c r="E16" i="62"/>
  <c r="E10" i="62"/>
  <c r="C7"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E7" i="62"/>
  <c r="F7" i="62" s="1"/>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<sst xmlns="http://schemas.openxmlformats.org/spreadsheetml/2006/main" count="5058" uniqueCount="1530">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</sst>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 numFmtId="175" formatCode="#,##0.0000"/>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5">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175" fontId="14" fillId="0" borderId="0" xfId="537" applyNumberFormat="1" applyProtection="1">
      <alignment horizontal="center" vertical="center"/>
      <protection locked="0"/>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0.39133263000000001</c:v>
                </c:pt>
                <c:pt idx="2">
                  <c:v>5.0999999999999996</c:v>
                </c:pt>
                <c:pt idx="8" formatCode="0">
                  <c:v>3048.6996162999999</c:v>
                </c:pt>
                <c:pt idx="9" formatCode="0.00">
                  <c:v>0</c:v>
                </c:pt>
                <c:pt idx="10" formatCode="0.00">
                  <c:v>1.8399999999999999</c:v>
                </c:pt>
                <c:pt idx="11" formatCode="0.00">
                  <c:v>-5.3568687508124611E-6</c:v>
                </c:pt>
                <c:pt idx="12" formatCode="0.00">
                  <c:v>462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2.4167062025474045E-4</c:v>
                </c:pt>
                <c:pt idx="1">
                  <c:v>6.7694429700456375E-5</c:v>
                </c:pt>
                <c:pt idx="2">
                  <c:v>3.1495461119589651E-3</c:v>
                </c:pt>
                <c:pt idx="3">
                  <c:v>3.7053483670105469E-4</c:v>
                </c:pt>
                <c:pt idx="4">
                  <c:v>2.3096671487699079E-3</c:v>
                </c:pt>
                <c:pt idx="5">
                  <c:v>-3.3081774796854637E-9</c:v>
                </c:pt>
                <c:pt idx="6">
                  <c:v>1.1363068325499011E-3</c:v>
                </c:pt>
                <c:pt idx="7">
                  <c:v>0.28531182425981216</c:v>
                </c:pt>
                <c:pt idx="8">
                  <c:v>9.8809289786947932E-2</c:v>
                </c:pt>
                <c:pt idx="9">
                  <c:v>0.37424018506806528</c:v>
                </c:pt>
                <c:pt idx="10">
                  <c:v>0.23436328421341712</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0.36512700000000003</v>
      </c>
      <c r="D5" s="378" t="s">
        <v>5</v>
      </c>
      <c r="E5" s="1150">
        <f>SUM(C5,C8,C9,C15,C20,C19,C21)</f>
        <v>2.2051216431312493</v>
      </c>
      <c r="G5" s="821" t="s">
        <v>4</v>
      </c>
      <c r="H5" s="822">
        <f>C5+C6+C7+C15+C16+C17</f>
        <v>0.39133263000000001</v>
      </c>
      <c r="I5" s="823">
        <f>H5/$H$18</f>
        <v>1.1123626718374972E-4</v>
      </c>
      <c r="X5" s="810"/>
      <c r="AA5" s="16"/>
    </row>
    <row r="6" spans="2:27" ht="16.5" customHeight="1" x14ac:dyDescent="0.25">
      <c r="B6" s="18" t="s">
        <v>10</v>
      </c>
      <c r="C6" s="1146">
        <f>'Summary - Farm'!B6</f>
        <v>1.8452300000000001E-2</v>
      </c>
      <c r="D6" s="378" t="s">
        <v>8</v>
      </c>
      <c r="E6" s="1150">
        <f>SUM(C6,C16)</f>
        <v>1.8452300000000001E-2</v>
      </c>
      <c r="G6" s="821"/>
      <c r="H6" s="822"/>
      <c r="I6" s="823"/>
      <c r="X6" s="810"/>
      <c r="AA6" s="16"/>
    </row>
    <row r="7" spans="2:27" ht="16.5" customHeight="1" x14ac:dyDescent="0.25">
      <c r="B7" s="18" t="s">
        <v>13</v>
      </c>
      <c r="C7" s="1146">
        <f>'Summary - Farm'!B7</f>
        <v>7.753330000000001E-3</v>
      </c>
      <c r="D7" s="378" t="s">
        <v>11</v>
      </c>
      <c r="E7" s="1150">
        <f>SUM(C7,C17)</f>
        <v>7.753330000000001E-3</v>
      </c>
      <c r="G7" s="821" t="s">
        <v>9</v>
      </c>
      <c r="H7" s="822">
        <f>C28</f>
        <v>5.0999999999999996</v>
      </c>
      <c r="I7" s="823">
        <f t="shared" ref="I7:I18" si="0">H7/$H$18</f>
        <v>1.4496745713157718E-3</v>
      </c>
      <c r="X7" s="810"/>
      <c r="AA7" s="16"/>
    </row>
    <row r="8" spans="2:27" ht="16.5" customHeight="1" x14ac:dyDescent="0.15">
      <c r="B8" s="18" t="s">
        <v>439</v>
      </c>
      <c r="C8" s="1146">
        <f>'Summary - Farm'!B8</f>
        <v>-5.3568687508124611E-6</v>
      </c>
      <c r="D8" s="379" t="s">
        <v>14</v>
      </c>
      <c r="E8" s="1151">
        <f>SUM(C10,C11,C18)</f>
        <v>462</v>
      </c>
      <c r="G8" s="821"/>
      <c r="H8" s="822"/>
      <c r="I8" s="823"/>
      <c r="X8" s="810"/>
      <c r="AA8" s="16"/>
    </row>
    <row r="9" spans="2:27" ht="16.5" customHeight="1" x14ac:dyDescent="0.15">
      <c r="B9" s="18" t="s">
        <v>441</v>
      </c>
      <c r="C9" s="1146">
        <f>'Summary - Farm'!B9</f>
        <v>1.8399999999999999</v>
      </c>
      <c r="D9" s="995"/>
      <c r="E9" s="996"/>
      <c r="G9" s="997"/>
      <c r="H9" s="822"/>
      <c r="I9" s="823"/>
      <c r="X9" s="810"/>
      <c r="AA9" s="16"/>
    </row>
    <row r="10" spans="2:27" ht="16.5" customHeight="1" x14ac:dyDescent="0.15">
      <c r="B10" s="18" t="s">
        <v>1407</v>
      </c>
      <c r="C10" s="1146">
        <f>'Summary - Farm'!B10</f>
        <v>462</v>
      </c>
      <c r="G10" s="821"/>
      <c r="H10" s="822"/>
      <c r="I10" s="823">
        <f t="shared" si="0"/>
        <v>0</v>
      </c>
      <c r="X10" s="810"/>
      <c r="AA10" s="16"/>
    </row>
    <row r="11" spans="2:27" ht="16.5" customHeight="1" x14ac:dyDescent="0.15">
      <c r="B11" s="18" t="s">
        <v>1409</v>
      </c>
      <c r="C11" s="1147">
        <f>'Summary - Farm'!B11</f>
        <v>0</v>
      </c>
      <c r="D11" s="824"/>
      <c r="E11" s="825"/>
      <c r="G11" s="821"/>
      <c r="H11" s="822"/>
      <c r="I11" s="823">
        <f t="shared" si="0"/>
        <v>0</v>
      </c>
      <c r="X11" s="810"/>
      <c r="AA11" s="16"/>
    </row>
    <row r="12" spans="2:27" ht="16.5" customHeight="1" x14ac:dyDescent="0.15">
      <c r="B12" s="764" t="str">
        <f>"Scope 1 Total - " &amp; 'Summary - Combined'!C69</f>
        <v>Scope 1 Total - Aquaculture</v>
      </c>
      <c r="C12" s="1144">
        <f>SUM(C5:C11)</f>
        <v>464.23132727313123</v>
      </c>
      <c r="G12" s="821"/>
      <c r="H12" s="822"/>
      <c r="I12" s="823">
        <f t="shared" si="0"/>
        <v>0</v>
      </c>
      <c r="X12" s="810"/>
      <c r="AA12" s="16"/>
    </row>
    <row r="13" spans="2:27" ht="16.5" customHeight="1" x14ac:dyDescent="0.15">
      <c r="B13" s="828"/>
      <c r="C13" s="829"/>
      <c r="G13" s="821" t="s">
        <v>250</v>
      </c>
      <c r="H13" s="826">
        <f>C50</f>
        <v>3048.6996162999999</v>
      </c>
      <c r="I13" s="823">
        <f t="shared" si="0"/>
        <v>0.8665926096726001</v>
      </c>
      <c r="X13" s="810"/>
      <c r="AA13" s="16"/>
    </row>
    <row r="14" spans="2:27" ht="16.5" customHeight="1" x14ac:dyDescent="0.25">
      <c r="B14" s="764" t="s">
        <v>646</v>
      </c>
      <c r="C14" s="811" t="s">
        <v>657</v>
      </c>
      <c r="G14" s="821" t="s">
        <v>347</v>
      </c>
      <c r="H14" s="827">
        <f>C19</f>
        <v>0</v>
      </c>
      <c r="I14" s="823">
        <f t="shared" si="0"/>
        <v>0</v>
      </c>
      <c r="X14" s="810"/>
      <c r="AA14" s="16"/>
    </row>
    <row r="15" spans="2:27" ht="16.5" customHeight="1" x14ac:dyDescent="0.25">
      <c r="B15" s="18" t="s">
        <v>7</v>
      </c>
      <c r="C15" s="835">
        <f>'Summary - Processing'!G6</f>
        <v>0</v>
      </c>
      <c r="G15" s="821" t="s">
        <v>644</v>
      </c>
      <c r="H15" s="827">
        <f>C9+C21</f>
        <v>1.8399999999999999</v>
      </c>
      <c r="I15" s="823">
        <f t="shared" si="0"/>
        <v>5.2301984533745488E-4</v>
      </c>
      <c r="X15" s="810"/>
      <c r="AA15" s="16"/>
    </row>
    <row r="16" spans="2:27" ht="16.5" customHeight="1" x14ac:dyDescent="0.25">
      <c r="B16" s="18" t="s">
        <v>10</v>
      </c>
      <c r="C16" s="864">
        <f>'Summary - Processing'!G7</f>
        <v>0</v>
      </c>
      <c r="G16" s="821" t="s">
        <v>619</v>
      </c>
      <c r="H16" s="827">
        <f>C8+C20</f>
        <v>-5.3568687508124611E-6</v>
      </c>
      <c r="I16" s="823">
        <f t="shared" si="0"/>
        <v>-1.5226894921429233E-9</v>
      </c>
    </row>
    <row r="17" spans="2:9" ht="16.5" customHeight="1" x14ac:dyDescent="0.25">
      <c r="B17" s="18" t="s">
        <v>13</v>
      </c>
      <c r="C17" s="864">
        <f>'Summary - Processing'!G8</f>
        <v>0</v>
      </c>
      <c r="G17" s="830" t="s">
        <v>645</v>
      </c>
      <c r="H17" s="831">
        <f>C18+C10+C11</f>
        <v>462</v>
      </c>
      <c r="I17" s="823">
        <f t="shared" si="0"/>
        <v>0.13132346116625229</v>
      </c>
    </row>
    <row r="18" spans="2:9" ht="16.5" customHeight="1" x14ac:dyDescent="0.15">
      <c r="B18" s="18" t="s">
        <v>15</v>
      </c>
      <c r="C18" s="864">
        <f>'Summary - Processing'!G9</f>
        <v>0</v>
      </c>
      <c r="G18" s="832" t="s">
        <v>2</v>
      </c>
      <c r="H18" s="833">
        <f>SUM(H5:H17)</f>
        <v>3518.0309435731315</v>
      </c>
      <c r="I18" s="834">
        <f t="shared" si="0"/>
        <v>1</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464.23132727313123</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5.0999999999999996</v>
      </c>
    </row>
    <row r="27" spans="2:9" ht="16.5" customHeight="1" x14ac:dyDescent="0.15">
      <c r="B27" s="24" t="s">
        <v>649</v>
      </c>
      <c r="C27" s="839">
        <f>'Summary - Processing'!G16</f>
        <v>0</v>
      </c>
    </row>
    <row r="28" spans="2:9" ht="16.5" customHeight="1" x14ac:dyDescent="0.15">
      <c r="B28" s="22" t="s">
        <v>18</v>
      </c>
      <c r="C28" s="840">
        <f>SUM(C26:C27,)</f>
        <v>5.0999999999999996</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1499</v>
      </c>
      <c r="C31" s="1149"/>
    </row>
    <row r="32" spans="2:9" ht="16.5" customHeight="1" x14ac:dyDescent="0.15">
      <c r="B32" s="27" t="s">
        <v>1412</v>
      </c>
      <c r="C32" s="1148">
        <f>'Summary - Farm'!B20</f>
        <v>3.74</v>
      </c>
    </row>
    <row r="33" spans="1:3" ht="16.5" customHeight="1" x14ac:dyDescent="0.15">
      <c r="B33" s="27" t="s">
        <v>1413</v>
      </c>
      <c r="C33" s="1148">
        <f>'Summary - Farm'!B21</f>
        <v>0</v>
      </c>
    </row>
    <row r="34" spans="1:3" ht="16.5" customHeight="1" x14ac:dyDescent="0.15">
      <c r="B34" s="27" t="s">
        <v>17</v>
      </c>
      <c r="C34" s="1148">
        <f>'Summary - Farm'!B22</f>
        <v>0.6</v>
      </c>
    </row>
    <row r="35" spans="1:3" ht="16.5" customHeight="1" x14ac:dyDescent="0.15">
      <c r="A35" s="19"/>
      <c r="B35" s="27" t="s">
        <v>19</v>
      </c>
      <c r="C35" s="1148">
        <f>'Summary - Farm'!B23</f>
        <v>0.1096163</v>
      </c>
    </row>
    <row r="36" spans="1:3" ht="16.5" customHeight="1" x14ac:dyDescent="0.15">
      <c r="A36" s="19"/>
      <c r="B36" s="27" t="s">
        <v>1410</v>
      </c>
      <c r="C36" s="1148">
        <f>'Summary - Farm'!B24</f>
        <v>606</v>
      </c>
    </row>
    <row r="37" spans="1:3" ht="16.5" customHeight="1" x14ac:dyDescent="0.15">
      <c r="A37" s="19"/>
      <c r="B37" s="27" t="s">
        <v>1502</v>
      </c>
      <c r="C37" s="1148">
        <f>'Summary - Farm'!B25</f>
        <v>219.5</v>
      </c>
    </row>
    <row r="38" spans="1:3" ht="16.5" customHeight="1" x14ac:dyDescent="0.15">
      <c r="B38" s="25" t="s">
        <v>1500</v>
      </c>
      <c r="C38" s="1149"/>
    </row>
    <row r="39" spans="1:3" ht="16.5" customHeight="1" x14ac:dyDescent="0.15">
      <c r="B39" s="27" t="s">
        <v>1503</v>
      </c>
      <c r="C39" s="1148">
        <f>'Summary - Farm'!B27</f>
        <v>2058.75</v>
      </c>
    </row>
    <row r="40" spans="1:3" ht="16.5" customHeight="1" x14ac:dyDescent="0.15">
      <c r="B40" s="27" t="s">
        <v>440</v>
      </c>
      <c r="C40" s="1148">
        <f>'Summary - Farm'!B28</f>
        <v>160</v>
      </c>
    </row>
    <row r="41" spans="1:3" ht="16.5" customHeight="1" x14ac:dyDescent="0.15">
      <c r="B41" s="844" t="str">
        <f>"Scope 3 Total - " &amp; 'Summary - Combined'!C69</f>
        <v>Scope 3 Total - Aquaculture</v>
      </c>
      <c r="C41" s="867">
        <f>SUM(C31:C40)</f>
        <v>3048.6996162999999</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3048.6996162999999</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3118.030943573131</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1495</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1525</v>
      </c>
      <c r="B6" s="286" t="s">
        <v>1526</v>
      </c>
      <c r="C6" s="286" t="s">
        <v>1527</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9" t="s">
        <v>579</v>
      </c>
      <c r="B2" s="1179"/>
      <c r="C2" s="1179"/>
      <c r="D2" s="1179"/>
      <c r="E2" s="1179"/>
      <c r="F2" s="1179"/>
      <c r="G2" s="1179"/>
      <c r="H2" s="1179"/>
      <c r="I2" s="117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0" t="s">
        <v>75</v>
      </c>
      <c r="F4" s="1181"/>
      <c r="G4" s="1181"/>
      <c r="H4" s="118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10</v>
      </c>
      <c r="D6" s="789">
        <f t="shared" ref="D6:D14" si="0">C6/1000</f>
        <v>0.01</v>
      </c>
      <c r="E6" s="790">
        <f>$D6*VLOOKUP($A6,$A$94:$N$102, 10, FALSE)</f>
        <v>2.3050800000000003E-2</v>
      </c>
      <c r="F6" s="790">
        <f>$D6*VLOOKUP($A6,$A$94:$N$102, 11, FALSE)</f>
        <v>6.8400000000000009E-5</v>
      </c>
      <c r="G6" s="790">
        <f>$D6*VLOOKUP($A6,$A$94:$N$102, 12, FALSE)</f>
        <v>6.8400000000000009E-5</v>
      </c>
      <c r="H6" s="791">
        <f>SUM(E6:G6)</f>
        <v>2.3187600000000003E-2</v>
      </c>
      <c r="I6" s="790">
        <f>$D6*VLOOKUP($A6,$A$93:$N$101, 13, FALSE)</f>
        <v>5.8824000000000003E-3</v>
      </c>
      <c r="J6" s="790">
        <f>SUM(H6:I6)</f>
        <v>2.9070000000000002E-2</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20</v>
      </c>
      <c r="D8" s="789">
        <f t="shared" si="0"/>
        <v>0.02</v>
      </c>
      <c r="E8" s="790">
        <f t="shared" si="1"/>
        <v>3.0942800000000003E-2</v>
      </c>
      <c r="F8" s="790">
        <f t="shared" ref="F8:F13" si="5">$D8*VLOOKUP($A8,$A$94:$N$102, 11, FALSE)</f>
        <v>1.0280000000000001E-4</v>
      </c>
      <c r="G8" s="790">
        <f t="shared" ref="G8:G13" si="6">$D8*VLOOKUP($A8,$A$94:$N$102, 12, FALSE)</f>
        <v>1.0280000000000001E-4</v>
      </c>
      <c r="H8" s="791">
        <f t="shared" si="2"/>
        <v>3.1148400000000003E-2</v>
      </c>
      <c r="I8" s="790">
        <f t="shared" si="3"/>
        <v>1.0382799999999999E-2</v>
      </c>
      <c r="J8" s="792">
        <f>SUM(H8:I8)</f>
        <v>4.1531200000000004E-2</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30</v>
      </c>
      <c r="D12" s="789">
        <f t="shared" si="0"/>
        <v>0.03</v>
      </c>
      <c r="E12" s="790">
        <f t="shared" si="1"/>
        <v>0</v>
      </c>
      <c r="F12" s="790">
        <f t="shared" si="5"/>
        <v>5.6159999999999998E-5</v>
      </c>
      <c r="G12" s="790">
        <f t="shared" si="6"/>
        <v>1.404E-4</v>
      </c>
      <c r="H12" s="791">
        <f t="shared" si="2"/>
        <v>1.9656E-4</v>
      </c>
      <c r="I12" s="790">
        <f t="shared" si="3"/>
        <v>0</v>
      </c>
      <c r="J12" s="792">
        <f t="shared" si="7"/>
        <v>1.9656E-4</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111</v>
      </c>
      <c r="D14" s="789">
        <f t="shared" si="0"/>
        <v>0.111</v>
      </c>
      <c r="E14" s="790">
        <f>$D14*VLOOKUP($A14,$A$94:$N$102, 10, FALSE)</f>
        <v>5.7054000000000002E-3</v>
      </c>
      <c r="F14" s="790">
        <f>$D14*VLOOKUP($A14,$A$94:$N$102, 11, FALSE)</f>
        <v>1.11E-5</v>
      </c>
      <c r="G14" s="790">
        <f>$D14*VLOOKUP($A14,$A$94:$N$102, 12, FALSE)</f>
        <v>3.3299999999999999E-6</v>
      </c>
      <c r="H14" s="791">
        <f t="shared" si="2"/>
        <v>5.7198300000000004E-3</v>
      </c>
      <c r="I14" s="790">
        <f>$D14*VLOOKUP($A14,$A$94:$N$102, 13, FALSE)</f>
        <v>4.5509999999999995E-4</v>
      </c>
      <c r="J14" s="792">
        <f t="shared" si="7"/>
        <v>6.1749300000000003E-3</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5.9699000000000002E-2</v>
      </c>
      <c r="F15" s="794">
        <f t="shared" si="8"/>
        <v>2.3846000000000002E-4</v>
      </c>
      <c r="G15" s="794">
        <f t="shared" si="8"/>
        <v>3.1493E-4</v>
      </c>
      <c r="H15" s="794">
        <f t="shared" si="8"/>
        <v>6.025239000000001E-2</v>
      </c>
      <c r="I15" s="794">
        <f t="shared" si="8"/>
        <v>1.67203E-2</v>
      </c>
      <c r="J15" s="794">
        <f t="shared" si="8"/>
        <v>7.6972689999999996E-2</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0" t="s">
        <v>578</v>
      </c>
      <c r="B17" s="1190"/>
      <c r="C17" s="1190"/>
      <c r="D17" s="1190"/>
      <c r="E17" s="1190"/>
      <c r="F17" s="1190"/>
      <c r="G17" s="1190"/>
      <c r="H17" s="1190"/>
      <c r="I17" s="119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60</v>
      </c>
      <c r="V17" s="315">
        <f>IFERROR((U17/1000)," ")</f>
        <v>0.06</v>
      </c>
      <c r="W17" s="773">
        <f>V17*VLOOKUP(S17, $S$69:$AF$80,10, FALSE)</f>
        <v>0.13830480000000001</v>
      </c>
      <c r="X17" s="773">
        <f>V17*VLOOKUP(S17, $S$69:$AF$80, 11, FALSE)</f>
        <v>4.104E-5</v>
      </c>
      <c r="Y17" s="773">
        <f>V17*VLOOKUP(S17, $S$69:$AF$80, 12, FALSE)</f>
        <v>4.104E-4</v>
      </c>
      <c r="Z17" s="314">
        <f>SUM(W17:Y17)</f>
        <v>0.13875624</v>
      </c>
      <c r="AA17" s="774">
        <f>V17*VLOOKUP(S17, $S$69:$AF$80, 13, FALSE)</f>
        <v>3.5294399999999997E-2</v>
      </c>
      <c r="AB17" s="316">
        <f>SUM(Z17:AA17)</f>
        <v>0.17405064000000001</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3" t="s">
        <v>75</v>
      </c>
      <c r="F19" s="1184"/>
      <c r="G19" s="1184"/>
      <c r="H19" s="118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40</v>
      </c>
      <c r="V19" s="315">
        <f>IFERROR((U19/1000)," ")</f>
        <v>0.04</v>
      </c>
      <c r="W19" s="773">
        <f t="shared" si="9"/>
        <v>6.3089599999999996E-2</v>
      </c>
      <c r="X19" s="773">
        <f t="shared" si="10"/>
        <v>5.2399999999999994E-4</v>
      </c>
      <c r="Y19" s="773">
        <f t="shared" si="11"/>
        <v>3.1439999999999994E-4</v>
      </c>
      <c r="Z19" s="314">
        <f t="shared" si="12"/>
        <v>6.3927999999999999E-2</v>
      </c>
      <c r="AA19" s="774">
        <f t="shared" si="13"/>
        <v>2.1169600000000004E-2</v>
      </c>
      <c r="AB19" s="316">
        <f t="shared" si="14"/>
        <v>8.5097599999999995E-2</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70</v>
      </c>
      <c r="V22" s="315">
        <f t="shared" si="15"/>
        <v>7.0000000000000007E-2</v>
      </c>
      <c r="W22" s="773">
        <f t="shared" si="9"/>
        <v>0</v>
      </c>
      <c r="X22" s="773">
        <f t="shared" si="10"/>
        <v>1.9376000000000005E-3</v>
      </c>
      <c r="Y22" s="773">
        <f t="shared" si="11"/>
        <v>4.1174000000000002E-3</v>
      </c>
      <c r="Z22" s="314">
        <f t="shared" si="12"/>
        <v>6.0550000000000005E-3</v>
      </c>
      <c r="AA22" s="774">
        <f t="shared" si="13"/>
        <v>0</v>
      </c>
      <c r="AB22" s="316">
        <f t="shared" si="14"/>
        <v>6.0550000000000005E-3</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50</v>
      </c>
      <c r="V24" s="315">
        <f t="shared" si="15"/>
        <v>0.05</v>
      </c>
      <c r="W24" s="773">
        <f t="shared" si="9"/>
        <v>0</v>
      </c>
      <c r="X24" s="773">
        <f t="shared" si="10"/>
        <v>9.3600000000000009E-4</v>
      </c>
      <c r="Y24" s="773">
        <f t="shared" si="11"/>
        <v>1.9889999999999999E-3</v>
      </c>
      <c r="Z24" s="314">
        <f t="shared" si="12"/>
        <v>2.9250000000000001E-3</v>
      </c>
      <c r="AA24" s="774">
        <f t="shared" si="13"/>
        <v>0</v>
      </c>
      <c r="AB24" s="316">
        <f t="shared" si="14"/>
        <v>2.9250000000000001E-3</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80</v>
      </c>
      <c r="V25" s="315">
        <f t="shared" si="15"/>
        <v>0.08</v>
      </c>
      <c r="W25" s="773">
        <f t="shared" si="9"/>
        <v>0.10403360000000002</v>
      </c>
      <c r="X25" s="773">
        <f t="shared" si="10"/>
        <v>1.47752E-2</v>
      </c>
      <c r="Y25" s="773">
        <f t="shared" si="11"/>
        <v>6.0720000000000001E-4</v>
      </c>
      <c r="Z25" s="314">
        <f t="shared" si="12"/>
        <v>0.11941600000000002</v>
      </c>
      <c r="AA25" s="774">
        <f t="shared" si="13"/>
        <v>3.6432000000000006E-2</v>
      </c>
      <c r="AB25" s="316">
        <f t="shared" si="14"/>
        <v>0.15584800000000004</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1492</v>
      </c>
      <c r="T30" s="322"/>
      <c r="U30" s="323">
        <f t="shared" ref="U30:AB30" si="25">SUM(U17:U28)</f>
        <v>300</v>
      </c>
      <c r="V30" s="324">
        <f t="shared" si="25"/>
        <v>0.30000000000000004</v>
      </c>
      <c r="W30" s="325">
        <f t="shared" si="25"/>
        <v>0.30542800000000003</v>
      </c>
      <c r="X30" s="670">
        <f t="shared" si="25"/>
        <v>1.8213840000000002E-2</v>
      </c>
      <c r="Y30" s="325">
        <f t="shared" si="25"/>
        <v>7.4384000000000013E-3</v>
      </c>
      <c r="Z30" s="325">
        <f t="shared" si="25"/>
        <v>0.33108024000000003</v>
      </c>
      <c r="AA30" s="325">
        <f t="shared" si="25"/>
        <v>9.2896000000000006E-2</v>
      </c>
      <c r="AB30" s="325">
        <f t="shared" si="25"/>
        <v>0.42397624000000006</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3" t="s">
        <v>75</v>
      </c>
      <c r="F33" s="1184"/>
      <c r="G33" s="1184"/>
      <c r="H33" s="1185"/>
      <c r="I33" s="56" t="s">
        <v>76</v>
      </c>
      <c r="J33" s="55" t="s">
        <v>77</v>
      </c>
      <c r="K33" s="202"/>
      <c r="L33" s="203"/>
      <c r="M33" s="202"/>
      <c r="N33" s="140"/>
      <c r="O33" s="140"/>
      <c r="P33" s="140"/>
      <c r="Q33" s="140"/>
      <c r="R33" s="140"/>
      <c r="S33" s="296" t="s">
        <v>84</v>
      </c>
      <c r="T33" s="322"/>
      <c r="U33" s="331">
        <v>0.10100000000000001</v>
      </c>
      <c r="V33" s="322">
        <f>'Input - Travel &amp; freight'!F38</f>
        <v>6000</v>
      </c>
      <c r="W33" s="332"/>
      <c r="X33" s="333"/>
      <c r="Y33" s="323"/>
      <c r="Z33" s="323"/>
      <c r="AA33" s="334">
        <f>U33*V33</f>
        <v>606</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2000</v>
      </c>
      <c r="V39" s="213"/>
      <c r="W39" s="213"/>
      <c r="X39" s="213"/>
      <c r="Y39" s="213"/>
      <c r="Z39" s="213">
        <f>VLOOKUP($S39,$S$177:$T$182, 2, FALSE)</f>
        <v>7.9875000000000002E-2</v>
      </c>
      <c r="AA39" s="213">
        <f>U39*Z39</f>
        <v>159.75</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3000</v>
      </c>
      <c r="V41" s="213"/>
      <c r="W41" s="213"/>
      <c r="X41" s="213"/>
      <c r="Y41" s="213"/>
      <c r="Z41" s="213">
        <f t="shared" si="35"/>
        <v>0.63300000000000001</v>
      </c>
      <c r="AA41" s="213">
        <f t="shared" si="36"/>
        <v>1899</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2058.75</v>
      </c>
      <c r="AB46" s="323"/>
      <c r="AC46" s="218"/>
    </row>
    <row r="47" spans="1:29" ht="28" customHeight="1" x14ac:dyDescent="0.2">
      <c r="A47" s="49" t="s">
        <v>72</v>
      </c>
      <c r="B47" s="54"/>
      <c r="C47" s="59" t="s">
        <v>73</v>
      </c>
      <c r="D47" s="59" t="s">
        <v>74</v>
      </c>
      <c r="E47" s="1183" t="s">
        <v>75</v>
      </c>
      <c r="F47" s="1184"/>
      <c r="G47" s="1184"/>
      <c r="H47" s="118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4000</v>
      </c>
      <c r="V51" s="215"/>
      <c r="W51" s="213"/>
      <c r="X51" s="213"/>
      <c r="Y51" s="213"/>
      <c r="Z51" s="213">
        <f t="shared" si="45"/>
        <v>3.7999999999999999E-2</v>
      </c>
      <c r="AA51" s="213">
        <f t="shared" si="46"/>
        <v>152</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5000</v>
      </c>
      <c r="V54" s="213"/>
      <c r="W54" s="213"/>
      <c r="X54" s="213"/>
      <c r="Y54" s="213"/>
      <c r="Z54" s="213">
        <f t="shared" si="45"/>
        <v>1.35E-2</v>
      </c>
      <c r="AA54" s="213">
        <f t="shared" si="46"/>
        <v>67.5</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219.5</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3" t="s">
        <v>75</v>
      </c>
      <c r="F62" s="1184"/>
      <c r="G62" s="1184"/>
      <c r="H62" s="118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3" t="s">
        <v>75</v>
      </c>
      <c r="F77" s="1184"/>
      <c r="G77" s="1184"/>
      <c r="H77" s="118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6" t="s">
        <v>105</v>
      </c>
      <c r="D91" s="1186"/>
      <c r="E91" s="1186"/>
      <c r="F91" s="1186"/>
      <c r="G91" s="97" t="s">
        <v>106</v>
      </c>
      <c r="H91" s="97" t="s">
        <v>107</v>
      </c>
      <c r="I91" s="97" t="s">
        <v>108</v>
      </c>
      <c r="J91" s="167"/>
      <c r="K91" s="168"/>
      <c r="L91" s="169"/>
      <c r="M91" s="97" t="s">
        <v>109</v>
      </c>
      <c r="N91" s="97" t="s">
        <v>107</v>
      </c>
      <c r="O91" s="1187" t="s">
        <v>110</v>
      </c>
      <c r="P91" s="1188"/>
      <c r="Q91" s="118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2"/>
      <c r="R5" s="110"/>
      <c r="S5" s="71"/>
      <c r="T5" s="82"/>
      <c r="U5" s="197" t="s">
        <v>205</v>
      </c>
      <c r="V5" s="154"/>
      <c r="W5" s="71"/>
      <c r="X5" s="71"/>
      <c r="Y5" s="71"/>
    </row>
    <row r="6" spans="1:25" s="38" customFormat="1" ht="15.75" customHeight="1" x14ac:dyDescent="0.2">
      <c r="A6" s="149"/>
      <c r="B6" s="42" t="s">
        <v>1380</v>
      </c>
      <c r="C6" s="361"/>
      <c r="D6" s="538">
        <f>'Input - Electricity &amp; Fuel'!F9</f>
        <v>10000</v>
      </c>
      <c r="E6" s="159">
        <f>$O$13</f>
        <v>0.51</v>
      </c>
      <c r="F6" s="159">
        <f>$P$13</f>
        <v>0.06</v>
      </c>
      <c r="G6" s="159">
        <f>D6*E6</f>
        <v>5100</v>
      </c>
      <c r="H6" s="159">
        <f>G6/1000</f>
        <v>5.0999999999999996</v>
      </c>
      <c r="I6" s="159">
        <f>D6*F6</f>
        <v>600</v>
      </c>
      <c r="J6" s="159">
        <f>I6/1000</f>
        <v>0.6</v>
      </c>
      <c r="K6" s="157">
        <f>SUM(G6:I6)</f>
        <v>5705.1</v>
      </c>
      <c r="L6" s="149"/>
      <c r="M6" s="71"/>
      <c r="N6" s="116" t="s">
        <v>208</v>
      </c>
      <c r="O6" s="696">
        <v>0.71</v>
      </c>
      <c r="P6" s="697">
        <v>0.1</v>
      </c>
      <c r="Q6" s="119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2"/>
      <c r="R9" s="1194"/>
      <c r="S9" s="71"/>
      <c r="T9" s="82"/>
      <c r="U9" s="197" t="s">
        <v>26</v>
      </c>
      <c r="V9" s="154"/>
      <c r="W9" s="71"/>
      <c r="X9" s="71"/>
      <c r="Y9" s="71"/>
    </row>
    <row r="10" spans="1:25" ht="15.75" customHeight="1" x14ac:dyDescent="0.2">
      <c r="A10" s="71"/>
      <c r="B10" s="42"/>
      <c r="C10" s="35" t="s">
        <v>213</v>
      </c>
      <c r="D10" s="161">
        <f>G6/1000</f>
        <v>5.0999999999999996</v>
      </c>
      <c r="E10" s="34"/>
      <c r="F10" s="34"/>
      <c r="G10" s="34"/>
      <c r="H10" s="34"/>
      <c r="I10" s="34"/>
      <c r="J10" s="34"/>
      <c r="K10" s="72"/>
      <c r="L10" s="71"/>
      <c r="M10" s="71"/>
      <c r="N10" s="116" t="s">
        <v>41</v>
      </c>
      <c r="O10" s="696">
        <v>0.15</v>
      </c>
      <c r="P10" s="697">
        <v>0.03</v>
      </c>
      <c r="Q10" s="1192"/>
      <c r="R10" s="1194"/>
      <c r="S10" s="71"/>
      <c r="T10" s="82"/>
      <c r="U10" s="198" t="s">
        <v>212</v>
      </c>
      <c r="V10" s="154"/>
      <c r="W10" s="71"/>
      <c r="X10" s="71"/>
      <c r="Y10" s="71"/>
    </row>
    <row r="11" spans="1:25" ht="15.75" customHeight="1" x14ac:dyDescent="0.15">
      <c r="A11" s="71"/>
      <c r="B11" s="42"/>
      <c r="C11" s="68" t="s">
        <v>214</v>
      </c>
      <c r="D11" s="162">
        <f>I6/1000</f>
        <v>0.6</v>
      </c>
      <c r="E11" s="39"/>
      <c r="F11" s="39"/>
      <c r="G11" s="39"/>
      <c r="H11" s="39"/>
      <c r="I11" s="39"/>
      <c r="J11" s="39"/>
      <c r="K11" s="73"/>
      <c r="L11" s="71"/>
      <c r="M11" s="71"/>
      <c r="N11" s="116" t="s">
        <v>26</v>
      </c>
      <c r="O11" s="696">
        <v>0.56000000000000005</v>
      </c>
      <c r="P11" s="697">
        <v>7.0000000000000007E-2</v>
      </c>
      <c r="Q11" s="1192"/>
      <c r="R11" s="119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2"/>
      <c r="R12" s="110"/>
      <c r="S12" s="71"/>
      <c r="T12" s="64"/>
      <c r="U12" s="71"/>
      <c r="V12" s="71"/>
      <c r="W12" s="71"/>
      <c r="X12" s="71"/>
      <c r="Y12" s="71"/>
    </row>
    <row r="13" spans="1:25" x14ac:dyDescent="0.15">
      <c r="A13" s="71"/>
      <c r="B13" s="41"/>
      <c r="C13" s="39"/>
      <c r="D13" s="78" t="s">
        <v>216</v>
      </c>
      <c r="E13" s="79"/>
      <c r="F13" s="39"/>
      <c r="G13" s="39"/>
      <c r="H13" s="39"/>
      <c r="I13" s="80"/>
      <c r="J13" s="80"/>
      <c r="K13" s="81">
        <f>SUM(D10:D11)</f>
        <v>5.6999999999999993</v>
      </c>
      <c r="L13" s="71"/>
      <c r="M13" s="362" t="s">
        <v>1485</v>
      </c>
      <c r="N13" s="363" t="str">
        <f>C2</f>
        <v>SW WA</v>
      </c>
      <c r="O13" s="364">
        <f t="shared" ref="O13" si="0">INDEX($O$3:$O$12,MATCH(N13,$N$3:$N$12,0))</f>
        <v>0.51</v>
      </c>
      <c r="P13" s="365">
        <f t="shared" ref="P13" si="1">INDEX($P$3:$P$12,MATCH(N13,$N$3:$N$12,0))</f>
        <v>0.06</v>
      </c>
      <c r="Q13" s="119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6"/>
      <c r="L6" s="526">
        <v>2</v>
      </c>
      <c r="M6" s="525" t="s">
        <v>389</v>
      </c>
    </row>
    <row r="7" spans="1:20" x14ac:dyDescent="0.15">
      <c r="A7" s="529"/>
      <c r="B7" s="983"/>
      <c r="C7" s="528"/>
      <c r="D7" s="528"/>
      <c r="E7" s="528"/>
      <c r="F7" s="528"/>
      <c r="G7" s="528"/>
      <c r="H7" s="528"/>
      <c r="I7" s="492"/>
      <c r="J7" s="1196"/>
      <c r="L7" s="526">
        <v>3</v>
      </c>
      <c r="M7" s="525" t="s">
        <v>388</v>
      </c>
    </row>
    <row r="8" spans="1:20" x14ac:dyDescent="0.15">
      <c r="A8" s="506"/>
      <c r="B8" s="982"/>
      <c r="C8" s="527"/>
      <c r="D8" s="527"/>
      <c r="E8" s="527"/>
      <c r="F8" s="527"/>
      <c r="G8" s="527"/>
      <c r="H8" s="527"/>
      <c r="I8" s="492"/>
      <c r="J8" s="1196"/>
      <c r="L8" s="526">
        <v>4</v>
      </c>
      <c r="M8" s="525" t="s">
        <v>331</v>
      </c>
    </row>
    <row r="9" spans="1:20" ht="15" customHeight="1" x14ac:dyDescent="0.15">
      <c r="A9" s="502" t="s">
        <v>399</v>
      </c>
      <c r="B9" s="984"/>
      <c r="C9" s="501"/>
      <c r="D9" s="501"/>
      <c r="E9" s="501"/>
      <c r="F9" s="501"/>
      <c r="G9" s="501"/>
      <c r="H9" s="501"/>
      <c r="I9" s="500"/>
      <c r="J9" s="1196"/>
      <c r="L9" s="524">
        <v>5</v>
      </c>
      <c r="M9" s="523" t="s">
        <v>386</v>
      </c>
    </row>
    <row r="10" spans="1:20" ht="48" customHeight="1" x14ac:dyDescent="0.15">
      <c r="A10" s="1198" t="s">
        <v>398</v>
      </c>
      <c r="B10" s="1199"/>
      <c r="C10" s="1199"/>
      <c r="D10" s="1199"/>
      <c r="E10" s="1199"/>
      <c r="F10" s="497"/>
      <c r="G10" s="497"/>
      <c r="H10" s="497"/>
      <c r="I10" s="499"/>
      <c r="J10" s="1196"/>
      <c r="L10" s="522"/>
      <c r="M10" s="522"/>
    </row>
    <row r="11" spans="1:20" x14ac:dyDescent="0.15">
      <c r="A11" s="498"/>
      <c r="B11" s="497"/>
      <c r="C11" s="497"/>
      <c r="D11" s="497"/>
      <c r="E11" s="497"/>
      <c r="F11" s="497"/>
      <c r="G11" s="497"/>
      <c r="H11" s="497"/>
      <c r="I11" s="497"/>
      <c r="J11" s="1196"/>
      <c r="L11" s="521" t="s">
        <v>397</v>
      </c>
      <c r="M11" s="520" t="s">
        <v>331</v>
      </c>
    </row>
    <row r="12" spans="1:20" x14ac:dyDescent="0.15">
      <c r="A12" s="494" t="s">
        <v>396</v>
      </c>
      <c r="B12" s="528">
        <f>'Input - Waste &amp; Outputs'!E7</f>
        <v>3</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6"/>
    </row>
    <row r="13" spans="1:20" x14ac:dyDescent="0.15">
      <c r="A13" s="494" t="s">
        <v>394</v>
      </c>
      <c r="B13" s="528">
        <f>'Input - Waste &amp; Outputs'!E10</f>
        <v>0.123</v>
      </c>
      <c r="C13" s="493">
        <f>'Input - Processing'!C76</f>
        <v>0</v>
      </c>
      <c r="D13" s="493"/>
      <c r="E13" s="493"/>
      <c r="F13" s="493"/>
      <c r="G13" s="493"/>
      <c r="H13" s="493"/>
      <c r="I13" s="492" t="s">
        <v>335</v>
      </c>
      <c r="J13" s="1196"/>
    </row>
    <row r="14" spans="1:20" x14ac:dyDescent="0.15">
      <c r="A14" s="494" t="s">
        <v>393</v>
      </c>
      <c r="B14" s="528">
        <f>'Input - Waste &amp; Outputs'!E11</f>
        <v>0.45600000000000002</v>
      </c>
      <c r="C14" s="493">
        <f>'Input - Processing'!C77</f>
        <v>0</v>
      </c>
      <c r="D14" s="493"/>
      <c r="E14" s="493"/>
      <c r="F14" s="493"/>
      <c r="G14" s="493"/>
      <c r="H14" s="493"/>
      <c r="I14" s="492" t="s">
        <v>335</v>
      </c>
      <c r="J14" s="1196"/>
      <c r="L14" s="515" t="s">
        <v>392</v>
      </c>
      <c r="M14" s="479"/>
    </row>
    <row r="15" spans="1:20" x14ac:dyDescent="0.15">
      <c r="A15" s="519" t="s">
        <v>391</v>
      </c>
      <c r="B15" s="528">
        <f>'Input - Waste &amp; Outputs'!E12</f>
        <v>0.1</v>
      </c>
      <c r="C15" s="528">
        <f>'Input - Processing'!C78</f>
        <v>0</v>
      </c>
      <c r="D15" s="528"/>
      <c r="E15" s="528"/>
      <c r="F15" s="528"/>
      <c r="G15" s="528"/>
      <c r="H15" s="528"/>
      <c r="I15" s="492" t="s">
        <v>54</v>
      </c>
      <c r="J15" s="1196"/>
      <c r="L15" s="515" t="s">
        <v>390</v>
      </c>
      <c r="M15" s="479">
        <v>0</v>
      </c>
    </row>
    <row r="16" spans="1:20" x14ac:dyDescent="0.15">
      <c r="A16" s="518"/>
      <c r="B16" s="493"/>
      <c r="C16" s="517"/>
      <c r="D16" s="517"/>
      <c r="E16" s="517"/>
      <c r="F16" s="517"/>
      <c r="G16" s="517"/>
      <c r="H16" s="517"/>
      <c r="I16" s="492"/>
      <c r="J16" s="1196"/>
      <c r="L16" s="515" t="s">
        <v>389</v>
      </c>
      <c r="M16" s="479">
        <v>0.3</v>
      </c>
      <c r="O16" s="714"/>
      <c r="P16" s="714"/>
      <c r="Q16" s="714"/>
      <c r="R16" s="714"/>
      <c r="S16" s="714"/>
      <c r="T16" s="714"/>
    </row>
    <row r="17" spans="1:20" x14ac:dyDescent="0.15">
      <c r="A17" s="491" t="s">
        <v>136</v>
      </c>
      <c r="B17" s="994">
        <f>((B12*(($B$13*(1-$C$48))-$B$14)*$B$6/1000000)*($B$15*$C$50*$C$51+(1-$B$15)*$C$49))</f>
        <v>-5.3568687508124611E-6</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19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5" t="s">
        <v>384</v>
      </c>
    </row>
    <row r="23" spans="1:20" x14ac:dyDescent="0.15">
      <c r="A23" s="506" t="s">
        <v>383</v>
      </c>
      <c r="B23" s="992">
        <f>'Input - Waste &amp; Outputs'!E19</f>
        <v>100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6"/>
    </row>
    <row r="24" spans="1:20" x14ac:dyDescent="0.15">
      <c r="A24" s="506" t="s">
        <v>345</v>
      </c>
      <c r="B24" s="992">
        <f>'Input - Waste &amp; Outputs'!E20</f>
        <v>40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6"/>
    </row>
    <row r="25" spans="1:20" x14ac:dyDescent="0.15">
      <c r="A25" s="506"/>
      <c r="B25" s="982"/>
      <c r="C25" s="505"/>
      <c r="D25" s="505"/>
      <c r="E25" s="505"/>
      <c r="F25" s="505"/>
      <c r="G25" s="505"/>
      <c r="H25" s="505"/>
      <c r="I25" s="492"/>
      <c r="J25" s="1196"/>
    </row>
    <row r="26" spans="1:20" ht="15" x14ac:dyDescent="0.15">
      <c r="A26" s="502" t="s">
        <v>382</v>
      </c>
      <c r="B26" s="984"/>
      <c r="C26" s="501"/>
      <c r="D26" s="501"/>
      <c r="E26" s="501"/>
      <c r="F26" s="501"/>
      <c r="G26" s="501"/>
      <c r="H26" s="501"/>
      <c r="I26" s="500"/>
      <c r="J26" s="1196"/>
    </row>
    <row r="27" spans="1:20" ht="14" customHeight="1" x14ac:dyDescent="0.15">
      <c r="A27" s="550" t="s">
        <v>378</v>
      </c>
      <c r="B27" s="499"/>
      <c r="C27" s="499"/>
      <c r="D27" s="499"/>
      <c r="E27" s="499"/>
      <c r="F27" s="499"/>
      <c r="G27" s="499"/>
      <c r="H27" s="499"/>
      <c r="I27" s="499"/>
      <c r="J27" s="1196"/>
    </row>
    <row r="28" spans="1:20" x14ac:dyDescent="0.15">
      <c r="A28" s="498"/>
      <c r="B28" s="497"/>
      <c r="C28" s="497"/>
      <c r="D28" s="497"/>
      <c r="E28" s="497"/>
      <c r="F28" s="497"/>
      <c r="G28" s="497"/>
      <c r="H28" s="497"/>
      <c r="I28" s="497"/>
      <c r="J28" s="1196"/>
    </row>
    <row r="29" spans="1:20" ht="14.25" customHeight="1" x14ac:dyDescent="0.15">
      <c r="A29" s="494" t="s">
        <v>381</v>
      </c>
      <c r="B29" s="496">
        <f>B23</f>
        <v>100</v>
      </c>
      <c r="C29" s="496">
        <f>C23</f>
        <v>0</v>
      </c>
      <c r="D29" s="496">
        <f t="shared" ref="D29:F29" si="1">D23</f>
        <v>0</v>
      </c>
      <c r="E29" s="496">
        <f t="shared" si="1"/>
        <v>0</v>
      </c>
      <c r="F29" s="496">
        <f t="shared" si="1"/>
        <v>0</v>
      </c>
      <c r="G29" s="496"/>
      <c r="H29" s="496">
        <f t="shared" ref="H29" si="2">H23</f>
        <v>0</v>
      </c>
      <c r="I29" s="492" t="s">
        <v>352</v>
      </c>
      <c r="J29" s="119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6"/>
    </row>
    <row r="31" spans="1:20" x14ac:dyDescent="0.15">
      <c r="A31" s="494"/>
      <c r="B31" s="493"/>
      <c r="C31" s="493"/>
      <c r="D31" s="493"/>
      <c r="E31" s="493"/>
      <c r="F31" s="493"/>
      <c r="G31" s="493"/>
      <c r="H31" s="493"/>
      <c r="I31" s="492"/>
      <c r="J31" s="1196"/>
      <c r="O31" s="714"/>
      <c r="P31" s="714"/>
      <c r="Q31" s="714"/>
      <c r="R31" s="714"/>
      <c r="S31" s="714"/>
      <c r="T31" s="714"/>
    </row>
    <row r="32" spans="1:20" x14ac:dyDescent="0.15">
      <c r="A32" s="504" t="s">
        <v>374</v>
      </c>
      <c r="B32" s="490">
        <f>B29*B30</f>
        <v>160</v>
      </c>
      <c r="C32" s="490">
        <f>C29*C30</f>
        <v>0</v>
      </c>
      <c r="D32" s="490">
        <f t="shared" ref="D32:F32" si="4">D29*D30</f>
        <v>0</v>
      </c>
      <c r="E32" s="490">
        <f t="shared" si="4"/>
        <v>0</v>
      </c>
      <c r="F32" s="490">
        <f t="shared" si="4"/>
        <v>0</v>
      </c>
      <c r="G32" s="554">
        <f>SUM(C32:F32)</f>
        <v>0</v>
      </c>
      <c r="H32" s="490">
        <f t="shared" ref="H32" si="5">H29*H30</f>
        <v>0</v>
      </c>
      <c r="I32" s="503" t="s">
        <v>140</v>
      </c>
      <c r="J32" s="1196"/>
    </row>
    <row r="33" spans="1:20" ht="15" x14ac:dyDescent="0.15">
      <c r="A33" s="502" t="s">
        <v>379</v>
      </c>
      <c r="B33" s="501"/>
      <c r="C33" s="501"/>
      <c r="D33" s="501"/>
      <c r="E33" s="501"/>
      <c r="F33" s="501"/>
      <c r="G33" s="501"/>
      <c r="H33" s="501"/>
      <c r="I33" s="500"/>
      <c r="J33" s="1196"/>
    </row>
    <row r="34" spans="1:20" ht="14" customHeight="1" x14ac:dyDescent="0.15">
      <c r="A34" s="550" t="s">
        <v>378</v>
      </c>
      <c r="B34" s="499"/>
      <c r="C34" s="499"/>
      <c r="D34" s="499"/>
      <c r="E34" s="499"/>
      <c r="F34" s="499"/>
      <c r="G34" s="499"/>
      <c r="H34" s="499"/>
      <c r="I34" s="499"/>
      <c r="J34" s="1196"/>
    </row>
    <row r="35" spans="1:20" x14ac:dyDescent="0.15">
      <c r="A35" s="498"/>
      <c r="B35" s="497"/>
      <c r="C35" s="497"/>
      <c r="D35" s="497"/>
      <c r="E35" s="497"/>
      <c r="F35" s="497"/>
      <c r="G35" s="497"/>
      <c r="H35" s="497"/>
      <c r="I35" s="497"/>
      <c r="J35" s="1196"/>
    </row>
    <row r="36" spans="1:20" x14ac:dyDescent="0.15">
      <c r="A36" s="494" t="s">
        <v>377</v>
      </c>
      <c r="B36" s="496">
        <f>B24</f>
        <v>40</v>
      </c>
      <c r="C36" s="496">
        <f>C24</f>
        <v>0</v>
      </c>
      <c r="D36" s="496">
        <f t="shared" ref="D36:F36" si="6">D24</f>
        <v>0</v>
      </c>
      <c r="E36" s="496">
        <f t="shared" si="6"/>
        <v>0</v>
      </c>
      <c r="F36" s="496">
        <f t="shared" si="6"/>
        <v>0</v>
      </c>
      <c r="G36" s="496"/>
      <c r="H36" s="496">
        <f t="shared" ref="H36" si="7">H24</f>
        <v>0</v>
      </c>
      <c r="I36" s="492" t="s">
        <v>352</v>
      </c>
      <c r="J36" s="119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6"/>
    </row>
    <row r="38" spans="1:20" x14ac:dyDescent="0.15">
      <c r="A38" s="494"/>
      <c r="B38" s="493"/>
      <c r="C38" s="493"/>
      <c r="D38" s="493"/>
      <c r="E38" s="493"/>
      <c r="F38" s="493"/>
      <c r="G38" s="493"/>
      <c r="H38" s="493"/>
      <c r="I38" s="492"/>
      <c r="J38" s="1196"/>
      <c r="O38" s="714"/>
      <c r="P38" s="714"/>
      <c r="Q38" s="714"/>
      <c r="R38" s="714"/>
      <c r="S38" s="714"/>
      <c r="T38" s="714"/>
    </row>
    <row r="39" spans="1:20" x14ac:dyDescent="0.15">
      <c r="A39" s="491" t="s">
        <v>136</v>
      </c>
      <c r="B39" s="490">
        <f>B36*B37</f>
        <v>1.8399999999999999</v>
      </c>
      <c r="C39" s="490">
        <f>C36*C37</f>
        <v>0</v>
      </c>
      <c r="D39" s="490">
        <f t="shared" ref="D39:F39" si="9">D36*D37</f>
        <v>0</v>
      </c>
      <c r="E39" s="490">
        <f t="shared" si="9"/>
        <v>0</v>
      </c>
      <c r="F39" s="490">
        <f t="shared" si="9"/>
        <v>0</v>
      </c>
      <c r="G39" s="554">
        <f>SUM(C39:F39)</f>
        <v>0</v>
      </c>
      <c r="H39" s="490">
        <f t="shared" ref="H39" si="10">H36*H37</f>
        <v>0</v>
      </c>
      <c r="I39" s="489" t="s">
        <v>140</v>
      </c>
      <c r="J39" s="119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6" t="s">
        <v>442</v>
      </c>
      <c r="B79" s="1207"/>
      <c r="C79" s="1207"/>
      <c r="D79" s="1207"/>
      <c r="E79" s="1207"/>
      <c r="F79" s="1207"/>
      <c r="G79" s="1207"/>
      <c r="H79" s="1207"/>
      <c r="I79" s="1207"/>
      <c r="J79" s="120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0"/>
      <c r="K112" s="561"/>
      <c r="L112" s="561"/>
      <c r="M112" s="561"/>
    </row>
    <row r="113" spans="1:10" x14ac:dyDescent="0.2">
      <c r="A113" s="634" t="s">
        <v>451</v>
      </c>
      <c r="B113" s="632">
        <v>10000</v>
      </c>
      <c r="C113" s="633"/>
      <c r="D113" s="633"/>
      <c r="E113" s="633"/>
      <c r="F113" s="633"/>
      <c r="G113" s="633"/>
      <c r="H113" s="633"/>
      <c r="I113" s="633"/>
      <c r="J113" s="1200"/>
    </row>
    <row r="114" spans="1:10" x14ac:dyDescent="0.2">
      <c r="A114" s="634" t="s">
        <v>452</v>
      </c>
      <c r="B114" s="632">
        <v>7370</v>
      </c>
      <c r="C114" s="633"/>
      <c r="D114" s="633"/>
      <c r="E114" s="633"/>
      <c r="F114" s="633"/>
      <c r="G114" s="633"/>
      <c r="H114" s="633"/>
      <c r="I114" s="633"/>
      <c r="J114" s="1200"/>
    </row>
    <row r="115" spans="1:10" x14ac:dyDescent="0.2">
      <c r="A115" s="634" t="s">
        <v>453</v>
      </c>
      <c r="B115" s="632">
        <v>12200</v>
      </c>
      <c r="C115" s="633"/>
      <c r="D115" s="633"/>
      <c r="E115" s="633"/>
      <c r="F115" s="633"/>
      <c r="G115" s="633"/>
      <c r="H115" s="633"/>
      <c r="I115" s="633"/>
      <c r="J115" s="1200"/>
    </row>
    <row r="116" spans="1:10" x14ac:dyDescent="0.2">
      <c r="A116" s="634" t="s">
        <v>454</v>
      </c>
      <c r="B116" s="632">
        <v>77</v>
      </c>
      <c r="C116" s="633"/>
      <c r="D116" s="633"/>
      <c r="E116" s="633"/>
      <c r="F116" s="633"/>
      <c r="G116" s="633"/>
      <c r="H116" s="633"/>
      <c r="I116" s="633"/>
      <c r="J116" s="1200"/>
    </row>
    <row r="117" spans="1:10" x14ac:dyDescent="0.2">
      <c r="A117" s="634" t="s">
        <v>455</v>
      </c>
      <c r="B117" s="632">
        <v>609</v>
      </c>
      <c r="C117" s="633"/>
      <c r="D117" s="633"/>
      <c r="E117" s="633"/>
      <c r="F117" s="633"/>
      <c r="G117" s="633"/>
      <c r="H117" s="633"/>
      <c r="I117" s="633"/>
      <c r="J117" s="1200"/>
    </row>
    <row r="118" spans="1:10" x14ac:dyDescent="0.2">
      <c r="A118" s="634" t="s">
        <v>456</v>
      </c>
      <c r="B118" s="632">
        <v>3500</v>
      </c>
      <c r="C118" s="633"/>
      <c r="D118" s="633"/>
      <c r="E118" s="633"/>
      <c r="F118" s="633"/>
      <c r="G118" s="633"/>
      <c r="H118" s="633"/>
      <c r="I118" s="633"/>
      <c r="J118" s="1200"/>
    </row>
    <row r="119" spans="1:10" x14ac:dyDescent="0.2">
      <c r="A119" s="634" t="s">
        <v>457</v>
      </c>
      <c r="B119" s="632">
        <v>1430</v>
      </c>
      <c r="C119" s="633"/>
      <c r="D119" s="633"/>
      <c r="E119" s="633"/>
      <c r="F119" s="633"/>
      <c r="G119" s="633"/>
      <c r="H119" s="633"/>
      <c r="I119" s="633"/>
      <c r="J119" s="1200"/>
    </row>
    <row r="120" spans="1:10" x14ac:dyDescent="0.2">
      <c r="A120" s="634" t="s">
        <v>458</v>
      </c>
      <c r="B120" s="632">
        <v>725</v>
      </c>
      <c r="C120" s="633"/>
      <c r="D120" s="633"/>
      <c r="E120" s="633"/>
      <c r="F120" s="633"/>
      <c r="G120" s="633"/>
      <c r="H120" s="633"/>
      <c r="I120" s="633"/>
      <c r="J120" s="1200"/>
    </row>
    <row r="121" spans="1:10" x14ac:dyDescent="0.2">
      <c r="A121" s="634" t="s">
        <v>459</v>
      </c>
      <c r="B121" s="632">
        <v>2310</v>
      </c>
      <c r="C121" s="633"/>
      <c r="D121" s="633"/>
      <c r="E121" s="633"/>
      <c r="F121" s="633"/>
      <c r="G121" s="633"/>
      <c r="H121" s="633"/>
      <c r="I121" s="633"/>
      <c r="J121" s="1200"/>
    </row>
    <row r="122" spans="1:10" x14ac:dyDescent="0.2">
      <c r="A122" s="634" t="s">
        <v>328</v>
      </c>
      <c r="B122" s="632">
        <v>4470</v>
      </c>
      <c r="C122" s="633"/>
      <c r="D122" s="633"/>
      <c r="E122" s="633"/>
      <c r="F122" s="633"/>
      <c r="G122" s="633"/>
      <c r="H122" s="633"/>
      <c r="I122" s="633"/>
      <c r="J122" s="1200"/>
    </row>
    <row r="123" spans="1:10" x14ac:dyDescent="0.2">
      <c r="A123" s="634" t="s">
        <v>460</v>
      </c>
      <c r="B123" s="632">
        <v>124</v>
      </c>
      <c r="C123" s="633"/>
      <c r="D123" s="633"/>
      <c r="E123" s="633"/>
      <c r="F123" s="633"/>
      <c r="G123" s="633"/>
      <c r="H123" s="633"/>
      <c r="I123" s="633"/>
      <c r="J123" s="1200"/>
    </row>
    <row r="124" spans="1:10" x14ac:dyDescent="0.2">
      <c r="A124" s="634" t="s">
        <v>461</v>
      </c>
      <c r="B124" s="632">
        <v>8830</v>
      </c>
      <c r="C124" s="633"/>
      <c r="D124" s="633"/>
      <c r="E124" s="633"/>
      <c r="F124" s="633"/>
      <c r="G124" s="633"/>
      <c r="H124" s="633"/>
      <c r="I124" s="633"/>
      <c r="J124" s="1200"/>
    </row>
    <row r="125" spans="1:10" x14ac:dyDescent="0.2">
      <c r="A125" s="634" t="s">
        <v>462</v>
      </c>
      <c r="B125" s="632">
        <v>3220</v>
      </c>
      <c r="C125" s="633"/>
      <c r="D125" s="633"/>
      <c r="E125" s="633"/>
      <c r="F125" s="633"/>
      <c r="G125" s="633"/>
      <c r="H125" s="633"/>
      <c r="I125" s="633"/>
      <c r="J125" s="1200"/>
    </row>
    <row r="126" spans="1:10" x14ac:dyDescent="0.2">
      <c r="A126" s="634" t="s">
        <v>463</v>
      </c>
      <c r="B126" s="632">
        <v>9810</v>
      </c>
      <c r="C126" s="633"/>
      <c r="D126" s="633"/>
      <c r="E126" s="633"/>
      <c r="F126" s="633"/>
      <c r="G126" s="633"/>
      <c r="H126" s="633"/>
      <c r="I126" s="633"/>
      <c r="J126" s="1200"/>
    </row>
    <row r="127" spans="1:10" x14ac:dyDescent="0.2">
      <c r="A127" s="634" t="s">
        <v>464</v>
      </c>
      <c r="B127" s="632">
        <v>693</v>
      </c>
      <c r="C127" s="633"/>
      <c r="D127" s="633"/>
      <c r="E127" s="633"/>
      <c r="F127" s="633"/>
      <c r="G127" s="633"/>
      <c r="H127" s="633"/>
      <c r="I127" s="633"/>
      <c r="J127" s="1200"/>
    </row>
    <row r="128" spans="1:10" x14ac:dyDescent="0.2">
      <c r="A128" s="634" t="s">
        <v>465</v>
      </c>
      <c r="B128" s="632">
        <v>1030</v>
      </c>
      <c r="C128" s="633"/>
      <c r="D128" s="633"/>
      <c r="E128" s="633"/>
      <c r="F128" s="633"/>
      <c r="G128" s="633"/>
      <c r="H128" s="633"/>
      <c r="I128" s="633"/>
      <c r="J128" s="1200"/>
    </row>
    <row r="129" spans="1:10" x14ac:dyDescent="0.2">
      <c r="A129" s="634" t="s">
        <v>466</v>
      </c>
      <c r="B129" s="632">
        <v>10300</v>
      </c>
      <c r="C129" s="633"/>
      <c r="D129" s="633"/>
      <c r="E129" s="633"/>
      <c r="F129" s="633"/>
      <c r="G129" s="633"/>
      <c r="H129" s="633"/>
      <c r="I129" s="633"/>
      <c r="J129" s="1200"/>
    </row>
    <row r="130" spans="1:10" x14ac:dyDescent="0.2">
      <c r="A130" s="634" t="s">
        <v>467</v>
      </c>
      <c r="B130" s="632">
        <v>1200</v>
      </c>
      <c r="C130" s="633"/>
      <c r="D130" s="633"/>
      <c r="E130" s="633"/>
      <c r="F130" s="633"/>
      <c r="G130" s="633"/>
      <c r="H130" s="633"/>
      <c r="I130" s="633"/>
      <c r="J130" s="1200"/>
    </row>
    <row r="131" spans="1:10" x14ac:dyDescent="0.2">
      <c r="A131" s="634" t="s">
        <v>468</v>
      </c>
      <c r="B131" s="632">
        <v>1300</v>
      </c>
      <c r="C131" s="633"/>
      <c r="D131" s="633"/>
      <c r="E131" s="633"/>
      <c r="F131" s="633"/>
      <c r="G131" s="633"/>
      <c r="H131" s="633"/>
      <c r="I131" s="633"/>
      <c r="J131" s="1200"/>
    </row>
    <row r="132" spans="1:10" x14ac:dyDescent="0.2">
      <c r="A132" s="634" t="s">
        <v>469</v>
      </c>
      <c r="B132" s="632">
        <v>930</v>
      </c>
      <c r="C132" s="633"/>
      <c r="D132" s="633"/>
      <c r="E132" s="633"/>
      <c r="F132" s="633"/>
      <c r="G132" s="633"/>
      <c r="H132" s="633"/>
      <c r="I132" s="633"/>
      <c r="J132" s="1200"/>
    </row>
    <row r="133" spans="1:10" x14ac:dyDescent="0.2">
      <c r="A133" s="634" t="s">
        <v>470</v>
      </c>
      <c r="B133" s="632">
        <v>2800</v>
      </c>
      <c r="C133" s="633"/>
      <c r="D133" s="633"/>
      <c r="E133" s="633"/>
      <c r="F133" s="633"/>
      <c r="G133" s="633"/>
      <c r="H133" s="633"/>
      <c r="I133" s="633"/>
      <c r="J133" s="1200"/>
    </row>
    <row r="134" spans="1:10" x14ac:dyDescent="0.2">
      <c r="A134" s="634" t="s">
        <v>471</v>
      </c>
      <c r="B134" s="632">
        <v>2400</v>
      </c>
      <c r="C134" s="633"/>
      <c r="D134" s="633"/>
      <c r="E134" s="633"/>
      <c r="F134" s="633"/>
      <c r="G134" s="633"/>
      <c r="H134" s="633"/>
      <c r="I134" s="633"/>
      <c r="J134" s="1200"/>
    </row>
    <row r="135" spans="1:10" x14ac:dyDescent="0.2">
      <c r="A135" s="634" t="s">
        <v>472</v>
      </c>
      <c r="B135" s="632">
        <v>3100</v>
      </c>
      <c r="C135" s="633"/>
      <c r="D135" s="633"/>
      <c r="E135" s="633"/>
      <c r="F135" s="633"/>
      <c r="G135" s="633"/>
      <c r="H135" s="633"/>
      <c r="I135" s="633"/>
      <c r="J135" s="1200"/>
    </row>
    <row r="136" spans="1:10" x14ac:dyDescent="0.2">
      <c r="A136" s="634" t="s">
        <v>473</v>
      </c>
      <c r="B136" s="632">
        <v>4500</v>
      </c>
      <c r="C136" s="633"/>
      <c r="D136" s="633"/>
      <c r="E136" s="633"/>
      <c r="F136" s="633"/>
      <c r="G136" s="633"/>
      <c r="H136" s="633"/>
      <c r="I136" s="633"/>
      <c r="J136" s="1200"/>
    </row>
    <row r="137" spans="1:10" x14ac:dyDescent="0.2">
      <c r="A137" s="634" t="s">
        <v>474</v>
      </c>
      <c r="B137" s="632">
        <v>3900</v>
      </c>
      <c r="C137" s="633"/>
      <c r="D137" s="633"/>
      <c r="E137" s="633"/>
      <c r="F137" s="633"/>
      <c r="G137" s="633"/>
      <c r="H137" s="633"/>
      <c r="I137" s="633"/>
      <c r="J137" s="1200"/>
    </row>
    <row r="138" spans="1:10" x14ac:dyDescent="0.2">
      <c r="A138" s="634" t="s">
        <v>475</v>
      </c>
      <c r="B138" s="632">
        <v>5300</v>
      </c>
      <c r="C138" s="633"/>
      <c r="D138" s="633"/>
      <c r="E138" s="633"/>
      <c r="F138" s="633"/>
      <c r="G138" s="633"/>
      <c r="H138" s="633"/>
      <c r="I138" s="633"/>
      <c r="J138" s="1200"/>
    </row>
    <row r="139" spans="1:10" x14ac:dyDescent="0.2">
      <c r="A139" s="634" t="s">
        <v>476</v>
      </c>
      <c r="B139" s="632">
        <v>1900</v>
      </c>
      <c r="C139" s="633"/>
      <c r="D139" s="633"/>
      <c r="E139" s="633"/>
      <c r="F139" s="633"/>
      <c r="G139" s="633"/>
      <c r="H139" s="633"/>
      <c r="I139" s="633"/>
      <c r="J139" s="1200"/>
    </row>
    <row r="140" spans="1:10" x14ac:dyDescent="0.2">
      <c r="A140" s="634" t="s">
        <v>477</v>
      </c>
      <c r="B140" s="632">
        <v>2100</v>
      </c>
      <c r="C140" s="633"/>
      <c r="D140" s="633"/>
      <c r="E140" s="633"/>
      <c r="F140" s="633"/>
      <c r="G140" s="633"/>
      <c r="H140" s="633"/>
      <c r="I140" s="633"/>
      <c r="J140" s="1200"/>
    </row>
    <row r="141" spans="1:10" x14ac:dyDescent="0.2">
      <c r="A141" s="634" t="s">
        <v>478</v>
      </c>
      <c r="B141" s="632">
        <v>2800</v>
      </c>
      <c r="C141" s="633"/>
      <c r="D141" s="633"/>
      <c r="E141" s="633"/>
      <c r="F141" s="633"/>
      <c r="G141" s="633"/>
      <c r="H141" s="633"/>
      <c r="I141" s="633"/>
      <c r="J141" s="1200"/>
    </row>
    <row r="142" spans="1:10" x14ac:dyDescent="0.2">
      <c r="A142" s="634" t="s">
        <v>479</v>
      </c>
      <c r="B142" s="632">
        <v>1800</v>
      </c>
      <c r="C142" s="633"/>
      <c r="D142" s="633"/>
      <c r="E142" s="633"/>
      <c r="F142" s="633"/>
      <c r="G142" s="633"/>
      <c r="H142" s="633"/>
      <c r="I142" s="633"/>
      <c r="J142" s="1200"/>
    </row>
    <row r="143" spans="1:10" x14ac:dyDescent="0.2">
      <c r="A143" s="634" t="s">
        <v>480</v>
      </c>
      <c r="B143" s="632">
        <v>1600</v>
      </c>
      <c r="C143" s="633"/>
      <c r="D143" s="633"/>
      <c r="E143" s="633"/>
      <c r="F143" s="633"/>
      <c r="G143" s="633"/>
      <c r="H143" s="633"/>
      <c r="I143" s="633"/>
      <c r="J143" s="1200"/>
    </row>
    <row r="144" spans="1:10" x14ac:dyDescent="0.2">
      <c r="A144" s="634" t="s">
        <v>481</v>
      </c>
      <c r="B144" s="632">
        <v>1600</v>
      </c>
      <c r="C144" s="633"/>
      <c r="D144" s="633"/>
      <c r="E144" s="633"/>
      <c r="F144" s="633"/>
      <c r="G144" s="633"/>
      <c r="H144" s="633"/>
      <c r="I144" s="633"/>
      <c r="J144" s="1200"/>
    </row>
    <row r="145" spans="1:10" x14ac:dyDescent="0.2">
      <c r="A145" s="634" t="s">
        <v>482</v>
      </c>
      <c r="B145" s="632">
        <v>3200</v>
      </c>
      <c r="C145" s="633"/>
      <c r="D145" s="633"/>
      <c r="E145" s="633"/>
      <c r="F145" s="633"/>
      <c r="G145" s="633"/>
      <c r="H145" s="633"/>
      <c r="I145" s="633"/>
      <c r="J145" s="1200"/>
    </row>
    <row r="146" spans="1:10" x14ac:dyDescent="0.2">
      <c r="A146" s="634" t="s">
        <v>483</v>
      </c>
      <c r="B146" s="632">
        <v>1600</v>
      </c>
      <c r="C146" s="633"/>
      <c r="D146" s="633"/>
      <c r="E146" s="633"/>
      <c r="F146" s="633"/>
      <c r="G146" s="633"/>
      <c r="H146" s="633"/>
      <c r="I146" s="633"/>
      <c r="J146" s="1200"/>
    </row>
    <row r="147" spans="1:10" x14ac:dyDescent="0.2">
      <c r="A147" s="634" t="s">
        <v>484</v>
      </c>
      <c r="B147" s="632">
        <v>1600</v>
      </c>
      <c r="C147" s="633"/>
      <c r="D147" s="633"/>
      <c r="E147" s="633"/>
      <c r="F147" s="633"/>
      <c r="G147" s="633"/>
      <c r="H147" s="633"/>
      <c r="I147" s="633"/>
      <c r="J147" s="1200"/>
    </row>
    <row r="148" spans="1:10" x14ac:dyDescent="0.2">
      <c r="A148" s="634" t="s">
        <v>485</v>
      </c>
      <c r="B148" s="632">
        <v>2100</v>
      </c>
      <c r="C148" s="633"/>
      <c r="D148" s="633"/>
      <c r="E148" s="633"/>
      <c r="F148" s="633"/>
      <c r="G148" s="633"/>
      <c r="H148" s="633"/>
      <c r="I148" s="633"/>
      <c r="J148" s="1200"/>
    </row>
    <row r="149" spans="1:10" x14ac:dyDescent="0.2">
      <c r="A149" s="634" t="s">
        <v>486</v>
      </c>
      <c r="B149" s="632">
        <v>1600</v>
      </c>
      <c r="C149" s="633"/>
      <c r="D149" s="633"/>
      <c r="E149" s="633"/>
      <c r="F149" s="633"/>
      <c r="G149" s="633"/>
      <c r="H149" s="633"/>
      <c r="I149" s="633"/>
      <c r="J149" s="1200"/>
    </row>
    <row r="150" spans="1:10" x14ac:dyDescent="0.2">
      <c r="A150" s="634" t="s">
        <v>487</v>
      </c>
      <c r="B150" s="632">
        <v>1700</v>
      </c>
      <c r="C150" s="633"/>
      <c r="D150" s="633"/>
      <c r="E150" s="633"/>
      <c r="F150" s="633"/>
      <c r="G150" s="633"/>
      <c r="H150" s="633"/>
      <c r="I150" s="633"/>
      <c r="J150" s="1200"/>
    </row>
    <row r="151" spans="1:10" x14ac:dyDescent="0.2">
      <c r="A151" s="634" t="s">
        <v>488</v>
      </c>
      <c r="B151" s="632">
        <v>2300</v>
      </c>
      <c r="C151" s="633"/>
      <c r="D151" s="633"/>
      <c r="E151" s="633"/>
      <c r="F151" s="633"/>
      <c r="G151" s="633"/>
      <c r="H151" s="633"/>
      <c r="I151" s="633"/>
      <c r="J151" s="1200"/>
    </row>
    <row r="152" spans="1:10" x14ac:dyDescent="0.2">
      <c r="A152" s="634" t="s">
        <v>489</v>
      </c>
      <c r="B152" s="632">
        <v>2100</v>
      </c>
      <c r="C152" s="633"/>
      <c r="D152" s="633"/>
      <c r="E152" s="633"/>
      <c r="F152" s="633"/>
      <c r="G152" s="633"/>
      <c r="H152" s="633"/>
      <c r="I152" s="633"/>
      <c r="J152" s="1200"/>
    </row>
    <row r="153" spans="1:10" x14ac:dyDescent="0.2">
      <c r="A153" s="634" t="s">
        <v>490</v>
      </c>
      <c r="B153" s="632">
        <v>1500</v>
      </c>
      <c r="C153" s="633"/>
      <c r="D153" s="633"/>
      <c r="E153" s="633"/>
      <c r="F153" s="633"/>
      <c r="G153" s="633"/>
      <c r="H153" s="633"/>
      <c r="I153" s="633"/>
      <c r="J153" s="1200"/>
    </row>
    <row r="154" spans="1:10" x14ac:dyDescent="0.2">
      <c r="A154" s="634" t="s">
        <v>491</v>
      </c>
      <c r="B154" s="632">
        <v>1400</v>
      </c>
      <c r="C154" s="633"/>
      <c r="D154" s="633"/>
      <c r="E154" s="633"/>
      <c r="F154" s="633"/>
      <c r="G154" s="633"/>
      <c r="H154" s="633"/>
      <c r="I154" s="633"/>
      <c r="J154" s="1200"/>
    </row>
    <row r="155" spans="1:10" x14ac:dyDescent="0.2">
      <c r="A155" s="634" t="s">
        <v>492</v>
      </c>
      <c r="B155" s="632">
        <v>1500</v>
      </c>
      <c r="C155" s="633"/>
      <c r="D155" s="633"/>
      <c r="E155" s="633"/>
      <c r="F155" s="633"/>
      <c r="G155" s="633"/>
      <c r="H155" s="633"/>
      <c r="I155" s="633"/>
      <c r="J155" s="1200"/>
    </row>
    <row r="156" spans="1:10" x14ac:dyDescent="0.2">
      <c r="A156" s="634" t="s">
        <v>493</v>
      </c>
      <c r="B156" s="632">
        <v>550</v>
      </c>
      <c r="C156" s="633"/>
      <c r="D156" s="633"/>
      <c r="E156" s="633"/>
      <c r="F156" s="633"/>
      <c r="G156" s="633"/>
      <c r="H156" s="633"/>
      <c r="I156" s="633"/>
      <c r="J156" s="1200"/>
    </row>
    <row r="157" spans="1:10" x14ac:dyDescent="0.2">
      <c r="A157" s="634" t="s">
        <v>494</v>
      </c>
      <c r="B157" s="632">
        <v>1100</v>
      </c>
      <c r="C157" s="633"/>
      <c r="D157" s="633"/>
      <c r="E157" s="633"/>
      <c r="F157" s="633"/>
      <c r="G157" s="633"/>
      <c r="H157" s="633"/>
      <c r="I157" s="633"/>
      <c r="J157" s="1200"/>
    </row>
    <row r="158" spans="1:10" x14ac:dyDescent="0.2">
      <c r="A158" s="634" t="s">
        <v>495</v>
      </c>
      <c r="B158" s="632">
        <v>2300</v>
      </c>
      <c r="C158" s="633"/>
      <c r="D158" s="633"/>
      <c r="E158" s="633"/>
      <c r="F158" s="633"/>
      <c r="G158" s="633"/>
      <c r="H158" s="633"/>
      <c r="I158" s="633"/>
      <c r="J158" s="1200"/>
    </row>
    <row r="159" spans="1:10" x14ac:dyDescent="0.2">
      <c r="A159" s="634" t="s">
        <v>496</v>
      </c>
      <c r="B159" s="632">
        <v>1700</v>
      </c>
      <c r="C159" s="633"/>
      <c r="D159" s="633"/>
      <c r="E159" s="633"/>
      <c r="F159" s="633"/>
      <c r="G159" s="633"/>
      <c r="H159" s="633"/>
      <c r="I159" s="633"/>
      <c r="J159" s="1200"/>
    </row>
    <row r="160" spans="1:10" x14ac:dyDescent="0.2">
      <c r="A160" s="634" t="s">
        <v>497</v>
      </c>
      <c r="B160" s="632">
        <v>3000</v>
      </c>
      <c r="C160" s="633"/>
      <c r="D160" s="633"/>
      <c r="E160" s="633"/>
      <c r="F160" s="633"/>
      <c r="G160" s="633"/>
      <c r="H160" s="633"/>
      <c r="I160" s="633"/>
      <c r="J160" s="1200"/>
    </row>
    <row r="161" spans="1:10" x14ac:dyDescent="0.2">
      <c r="A161" s="634" t="s">
        <v>498</v>
      </c>
      <c r="B161" s="632">
        <v>1500</v>
      </c>
      <c r="C161" s="633"/>
      <c r="D161" s="633"/>
      <c r="E161" s="633"/>
      <c r="F161" s="633"/>
      <c r="G161" s="633"/>
      <c r="H161" s="633"/>
      <c r="I161" s="633"/>
      <c r="J161" s="1200"/>
    </row>
    <row r="162" spans="1:10" x14ac:dyDescent="0.2">
      <c r="A162" s="634" t="s">
        <v>499</v>
      </c>
      <c r="B162" s="632">
        <v>2600</v>
      </c>
      <c r="C162" s="633"/>
      <c r="D162" s="633"/>
      <c r="E162" s="633"/>
      <c r="F162" s="633"/>
      <c r="G162" s="633"/>
      <c r="H162" s="633"/>
      <c r="I162" s="633"/>
      <c r="J162" s="1200"/>
    </row>
    <row r="163" spans="1:10" x14ac:dyDescent="0.2">
      <c r="A163" s="634" t="s">
        <v>500</v>
      </c>
      <c r="B163" s="632">
        <v>3200</v>
      </c>
      <c r="C163" s="633"/>
      <c r="D163" s="633"/>
      <c r="E163" s="633"/>
      <c r="F163" s="633"/>
      <c r="G163" s="633"/>
      <c r="H163" s="633"/>
      <c r="I163" s="633"/>
      <c r="J163" s="1200"/>
    </row>
    <row r="164" spans="1:10" x14ac:dyDescent="0.2">
      <c r="A164" s="634" t="s">
        <v>501</v>
      </c>
      <c r="B164" s="632">
        <v>3100</v>
      </c>
      <c r="C164" s="633"/>
      <c r="D164" s="633"/>
      <c r="E164" s="633"/>
      <c r="F164" s="633"/>
      <c r="G164" s="633"/>
      <c r="H164" s="633"/>
      <c r="I164" s="633"/>
      <c r="J164" s="1200"/>
    </row>
    <row r="165" spans="1:10" x14ac:dyDescent="0.2">
      <c r="A165" s="634" t="s">
        <v>502</v>
      </c>
      <c r="B165" s="632">
        <v>2500</v>
      </c>
      <c r="C165" s="633"/>
      <c r="D165" s="633"/>
      <c r="E165" s="633"/>
      <c r="F165" s="633"/>
      <c r="G165" s="633"/>
      <c r="H165" s="633"/>
      <c r="I165" s="633"/>
      <c r="J165" s="1200"/>
    </row>
    <row r="166" spans="1:10" x14ac:dyDescent="0.2">
      <c r="A166" s="634" t="s">
        <v>503</v>
      </c>
      <c r="B166" s="632">
        <v>3100</v>
      </c>
      <c r="C166" s="633"/>
      <c r="D166" s="633"/>
      <c r="E166" s="633"/>
      <c r="F166" s="633"/>
      <c r="G166" s="633"/>
      <c r="H166" s="633"/>
      <c r="I166" s="633"/>
      <c r="J166" s="1200"/>
    </row>
    <row r="167" spans="1:10" x14ac:dyDescent="0.2">
      <c r="A167" s="634" t="s">
        <v>504</v>
      </c>
      <c r="B167" s="632">
        <v>2700</v>
      </c>
      <c r="C167" s="633"/>
      <c r="D167" s="633"/>
      <c r="E167" s="633"/>
      <c r="F167" s="633"/>
      <c r="G167" s="633"/>
      <c r="H167" s="633"/>
      <c r="I167" s="633"/>
      <c r="J167" s="1200"/>
    </row>
    <row r="168" spans="1:10" x14ac:dyDescent="0.2">
      <c r="A168" s="634" t="s">
        <v>505</v>
      </c>
      <c r="B168" s="632">
        <v>2300</v>
      </c>
      <c r="C168" s="633"/>
      <c r="D168" s="633"/>
      <c r="E168" s="633"/>
      <c r="F168" s="633"/>
      <c r="G168" s="633"/>
      <c r="H168" s="633"/>
      <c r="I168" s="633"/>
      <c r="J168" s="1200"/>
    </row>
    <row r="169" spans="1:10" x14ac:dyDescent="0.2">
      <c r="A169" s="634" t="s">
        <v>506</v>
      </c>
      <c r="B169" s="632">
        <v>2400</v>
      </c>
      <c r="C169" s="633"/>
      <c r="D169" s="633"/>
      <c r="E169" s="633"/>
      <c r="F169" s="633"/>
      <c r="G169" s="633"/>
      <c r="H169" s="633"/>
      <c r="I169" s="633"/>
      <c r="J169" s="1200"/>
    </row>
    <row r="170" spans="1:10" x14ac:dyDescent="0.2">
      <c r="A170" s="634" t="s">
        <v>507</v>
      </c>
      <c r="B170" s="632">
        <v>1500</v>
      </c>
      <c r="C170" s="633"/>
      <c r="D170" s="633"/>
      <c r="E170" s="633"/>
      <c r="F170" s="633"/>
      <c r="G170" s="633"/>
      <c r="H170" s="633"/>
      <c r="I170" s="633"/>
      <c r="J170" s="1200"/>
    </row>
    <row r="171" spans="1:10" x14ac:dyDescent="0.2">
      <c r="A171" s="634" t="s">
        <v>508</v>
      </c>
      <c r="B171" s="632">
        <v>1500</v>
      </c>
      <c r="C171" s="633"/>
      <c r="D171" s="633"/>
      <c r="E171" s="633"/>
      <c r="F171" s="633"/>
      <c r="G171" s="633"/>
      <c r="H171" s="633"/>
      <c r="I171" s="633"/>
      <c r="J171" s="1200"/>
    </row>
    <row r="172" spans="1:10" x14ac:dyDescent="0.2">
      <c r="A172" s="634" t="s">
        <v>509</v>
      </c>
      <c r="B172" s="632">
        <v>2100</v>
      </c>
      <c r="C172" s="633"/>
      <c r="D172" s="633"/>
      <c r="E172" s="633"/>
      <c r="F172" s="633"/>
      <c r="G172" s="633"/>
      <c r="H172" s="633"/>
      <c r="I172" s="633" t="s">
        <v>264</v>
      </c>
      <c r="J172" s="1200"/>
    </row>
    <row r="173" spans="1:10" x14ac:dyDescent="0.2">
      <c r="A173" s="634" t="s">
        <v>510</v>
      </c>
      <c r="B173" s="632">
        <v>3600</v>
      </c>
      <c r="C173" s="633"/>
      <c r="D173" s="633"/>
      <c r="E173" s="633"/>
      <c r="F173" s="633"/>
      <c r="G173" s="633"/>
      <c r="H173" s="633"/>
      <c r="I173" s="633"/>
      <c r="J173" s="1200"/>
    </row>
    <row r="174" spans="1:10" x14ac:dyDescent="0.2">
      <c r="A174" s="634" t="s">
        <v>511</v>
      </c>
      <c r="B174" s="632">
        <v>8100</v>
      </c>
      <c r="C174" s="633"/>
      <c r="D174" s="633"/>
      <c r="E174" s="633"/>
      <c r="F174" s="633"/>
      <c r="G174" s="633"/>
      <c r="H174" s="633"/>
      <c r="I174" s="633"/>
      <c r="J174" s="1200"/>
    </row>
    <row r="175" spans="1:10" x14ac:dyDescent="0.2">
      <c r="A175" s="634" t="s">
        <v>512</v>
      </c>
      <c r="B175" s="632">
        <v>4700</v>
      </c>
      <c r="C175" s="633"/>
      <c r="D175" s="633"/>
      <c r="E175" s="633"/>
      <c r="F175" s="633"/>
      <c r="G175" s="633"/>
      <c r="H175" s="633"/>
      <c r="I175" s="633"/>
      <c r="J175" s="1200"/>
    </row>
    <row r="176" spans="1:10" x14ac:dyDescent="0.2">
      <c r="A176" s="634" t="s">
        <v>513</v>
      </c>
      <c r="B176" s="632">
        <v>15000</v>
      </c>
      <c r="C176" s="633"/>
      <c r="D176" s="633"/>
      <c r="E176" s="633"/>
      <c r="F176" s="633"/>
      <c r="G176" s="633"/>
      <c r="H176" s="633"/>
      <c r="I176" s="633"/>
      <c r="J176" s="1200"/>
    </row>
    <row r="177" spans="1:10" x14ac:dyDescent="0.2">
      <c r="A177" s="634" t="s">
        <v>514</v>
      </c>
      <c r="B177" s="632">
        <v>4000</v>
      </c>
      <c r="C177" s="633"/>
      <c r="D177" s="633"/>
      <c r="E177" s="633"/>
      <c r="F177" s="633"/>
      <c r="G177" s="633"/>
      <c r="H177" s="633"/>
      <c r="I177" s="633"/>
      <c r="J177" s="1200"/>
    </row>
    <row r="178" spans="1:10" x14ac:dyDescent="0.2">
      <c r="A178" s="634" t="s">
        <v>515</v>
      </c>
      <c r="B178" s="632">
        <v>13000</v>
      </c>
      <c r="C178" s="633"/>
      <c r="D178" s="633"/>
      <c r="E178" s="633"/>
      <c r="F178" s="633"/>
      <c r="G178" s="633"/>
      <c r="H178" s="633"/>
      <c r="I178" s="633"/>
      <c r="J178" s="1200"/>
    </row>
    <row r="179" spans="1:10" x14ac:dyDescent="0.2">
      <c r="A179" s="634" t="s">
        <v>516</v>
      </c>
      <c r="B179" s="632">
        <v>13000</v>
      </c>
      <c r="C179" s="633"/>
      <c r="D179" s="633"/>
      <c r="E179" s="633"/>
      <c r="F179" s="633"/>
      <c r="G179" s="633"/>
      <c r="H179" s="633"/>
      <c r="I179" s="633"/>
      <c r="J179" s="1200"/>
    </row>
    <row r="180" spans="1:10" x14ac:dyDescent="0.2">
      <c r="A180" s="635" t="s">
        <v>517</v>
      </c>
      <c r="B180" s="636">
        <v>5700</v>
      </c>
      <c r="C180" s="633"/>
      <c r="D180" s="633"/>
      <c r="E180" s="633"/>
      <c r="F180" s="633"/>
      <c r="G180" s="633"/>
      <c r="H180" s="633"/>
      <c r="I180" s="633"/>
      <c r="J180" s="120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1507</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1508</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1510</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1511</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1512</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1513</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1514</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1515</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1516</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1517</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1518</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B23" sqref="B23"/>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2</v>
      </c>
      <c r="D6" s="1063"/>
      <c r="E6" s="1064">
        <f>IFERROR(VLOOKUP(B6,'Fishery Sector'!$B$19:$C$25,2,FALSE), 0)</f>
        <v>1</v>
      </c>
      <c r="F6" s="1065">
        <f>$C$6*$E$6</f>
        <v>2</v>
      </c>
      <c r="G6" s="1216"/>
    </row>
    <row r="7" spans="2:7" ht="14" x14ac:dyDescent="0.15">
      <c r="B7" s="1067" t="s">
        <v>1460</v>
      </c>
      <c r="C7" s="1068" t="str">
        <f>IF('Input - Farm'!$C$29=0,"",'Input - Farm'!$C$26*'Input - Farm'!$C$28)</f>
        <v/>
      </c>
      <c r="D7" s="1063"/>
      <c r="E7" s="1069">
        <f>'Input - Farm'!$C$29</f>
        <v>0</v>
      </c>
      <c r="F7" s="1070" t="str">
        <f>IF(C7="","",C7*E7)</f>
        <v/>
      </c>
      <c r="G7" s="1216"/>
    </row>
    <row r="8" spans="2:7" ht="14" x14ac:dyDescent="0.15">
      <c r="B8" s="1067"/>
      <c r="C8" s="1068"/>
      <c r="D8" s="1063"/>
      <c r="E8" s="1069"/>
      <c r="F8" s="1070"/>
      <c r="G8" s="1216"/>
    </row>
    <row r="9" spans="2:7" ht="14" x14ac:dyDescent="0.15">
      <c r="B9" s="1062" t="str">
        <f>'Input - Farm'!D27</f>
        <v>Cereal Grain</v>
      </c>
      <c r="C9" s="1065">
        <f>IF('Input - Farm'!$D$29=0,'Input - Farm'!$D$26,'Input - Farm'!$D$26-C10)</f>
        <v>2.25</v>
      </c>
      <c r="D9" s="1063"/>
      <c r="E9" s="1064">
        <f>IFERROR(VLOOKUP(B9,'Fishery Sector'!$B$19:$C$25,2,FALSE), 0)</f>
        <v>0.5</v>
      </c>
      <c r="F9" s="1065">
        <f>$C$9*$E$9</f>
        <v>1.125</v>
      </c>
      <c r="G9" s="1216"/>
    </row>
    <row r="10" spans="2:7" ht="14" x14ac:dyDescent="0.15">
      <c r="B10" s="1067" t="s">
        <v>1460</v>
      </c>
      <c r="C10" s="1071">
        <f>IF('Input - Farm'!$D$29=0,"",'Input - Farm'!$D$26*'Input - Farm'!$D$28)</f>
        <v>0.75</v>
      </c>
      <c r="D10" s="1059"/>
      <c r="E10" s="1069">
        <f>'Input - Farm'!$D$29</f>
        <v>0.5</v>
      </c>
      <c r="F10" s="1070">
        <f>IF(C10="","",C10*E10)</f>
        <v>0.375</v>
      </c>
      <c r="G10" s="1066"/>
    </row>
    <row r="11" spans="2:7" ht="14" x14ac:dyDescent="0.15">
      <c r="B11" s="1067"/>
      <c r="C11" s="1071"/>
      <c r="D11" s="1059"/>
      <c r="E11" s="1069"/>
      <c r="F11" s="1070"/>
      <c r="G11" s="1066"/>
    </row>
    <row r="12" spans="2:7" ht="14" x14ac:dyDescent="0.15">
      <c r="B12" s="1062">
        <f>'Input - Farm'!E27</f>
        <v>0</v>
      </c>
      <c r="C12" s="1065">
        <f>IF('Input - Farm'!$E$29=0,'Input - Farm'!$E$26,'Input - Farm'!$E$26-C13)</f>
        <v>0</v>
      </c>
      <c r="D12" s="1063"/>
      <c r="E12" s="1064">
        <f>IFERROR(VLOOKUP(B12,'Fishery Sector'!$B$19:$C$25,2,FALSE), 0)</f>
        <v>0</v>
      </c>
      <c r="F12" s="1065">
        <f>$C$12*$E$12</f>
        <v>0</v>
      </c>
      <c r="G12" s="1061"/>
    </row>
    <row r="13" spans="2:7" ht="14" x14ac:dyDescent="0.15">
      <c r="B13" s="1067" t="s">
        <v>1460</v>
      </c>
      <c r="C13" s="1071" t="str">
        <f>IF('Input - Farm'!$E$29=0,"",'Input - Farm'!$E$26*'Input - Farm'!$E$28)</f>
        <v/>
      </c>
      <c r="D13" s="1059"/>
      <c r="E13" s="1069">
        <f>'Input - Farm'!$E$29</f>
        <v>0</v>
      </c>
      <c r="F13" s="1072" t="str">
        <f>IF(C13="","",C13*E13)</f>
        <v/>
      </c>
      <c r="G13" s="1061"/>
    </row>
    <row r="14" spans="2:7" ht="14" x14ac:dyDescent="0.15">
      <c r="B14" s="1067"/>
      <c r="C14" s="1071"/>
      <c r="D14" s="1059"/>
      <c r="E14" s="1069"/>
      <c r="F14" s="1072"/>
      <c r="G14" s="1061"/>
    </row>
    <row r="15" spans="2:7" ht="14" x14ac:dyDescent="0.15">
      <c r="B15" s="1062">
        <f>'Input - Farm'!F27</f>
        <v>0</v>
      </c>
      <c r="C15" s="1073">
        <f>IF('Input - Farm'!$F$29=0,'Input - Farm'!$F$26,'Input - Farm'!$F$26-C16)</f>
        <v>0</v>
      </c>
      <c r="D15" s="1073"/>
      <c r="E15" s="1064">
        <f>IFERROR(VLOOKUP(B15,'Fishery Sector'!$B$19:$C$25,2,FALSE), 0)</f>
        <v>0</v>
      </c>
      <c r="F15" s="1065">
        <f>$C$15*$E$15</f>
        <v>0</v>
      </c>
      <c r="G15" s="1061"/>
    </row>
    <row r="16" spans="2:7" ht="14" x14ac:dyDescent="0.15">
      <c r="B16" s="1067" t="s">
        <v>1460</v>
      </c>
      <c r="C16" s="1071" t="str">
        <f>IF('Input - Farm'!$F$29=0,"",'Input - Farm'!$F$26*'Input - Farm'!$F$28)</f>
        <v/>
      </c>
      <c r="D16" s="1059"/>
      <c r="E16" s="1069">
        <f>'Input - Farm'!$F$29</f>
        <v>0</v>
      </c>
      <c r="F16" s="1072" t="str">
        <f>IF(C16="","",C16*E16)</f>
        <v/>
      </c>
      <c r="G16" s="1066"/>
    </row>
    <row r="17" spans="2:11" ht="14" x14ac:dyDescent="0.15">
      <c r="B17" s="1067"/>
      <c r="C17" s="1071"/>
      <c r="D17" s="1059"/>
      <c r="E17" s="1069"/>
      <c r="F17" s="1072"/>
      <c r="G17" s="1066"/>
    </row>
    <row r="18" spans="2:11" ht="14" x14ac:dyDescent="0.15">
      <c r="B18" s="1074" t="s">
        <v>1461</v>
      </c>
      <c r="C18" s="1075">
        <f>'Input - Farm'!$G$26</f>
        <v>3</v>
      </c>
      <c r="D18" s="1063"/>
      <c r="E18" s="1064">
        <f>'Input - Farm'!$G$30</f>
        <v>0.08</v>
      </c>
      <c r="F18" s="1065">
        <f>$C$18*$E$18</f>
        <v>0.24</v>
      </c>
      <c r="G18" s="1066"/>
    </row>
    <row r="19" spans="2:11" ht="14" x14ac:dyDescent="0.15">
      <c r="B19" s="1067"/>
      <c r="C19" s="1071"/>
      <c r="D19" s="1059"/>
      <c r="E19" s="1069"/>
      <c r="F19" s="1070"/>
      <c r="G19" s="1066"/>
    </row>
    <row r="20" spans="2:11" ht="15" x14ac:dyDescent="0.15">
      <c r="B20" s="1053" t="s">
        <v>1462</v>
      </c>
      <c r="C20" s="1076"/>
      <c r="D20" s="1076"/>
      <c r="E20" s="1077"/>
      <c r="F20" s="1078">
        <f>SUM(F6:F18)</f>
        <v>3.74</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6"/>
      <c r="I26" s="1081"/>
    </row>
    <row r="27" spans="2:11" ht="14" x14ac:dyDescent="0.15">
      <c r="B27" s="1067" t="s">
        <v>1460</v>
      </c>
      <c r="C27" s="1068">
        <f>IF('Input - Farm'!$C$56=0,"",'Input - Farm'!$C$53*'Input - Farm'!$C$55)</f>
        <v>0</v>
      </c>
      <c r="D27" s="1063"/>
      <c r="E27" s="1069">
        <f>'Input - Farm'!$C$56</f>
        <v>1</v>
      </c>
      <c r="F27" s="1070">
        <f>IF(C27="","",C27*E27)</f>
        <v>0</v>
      </c>
      <c r="G27" s="1216"/>
      <c r="I27" s="1080"/>
      <c r="J27" s="1082"/>
      <c r="K27" s="1082"/>
    </row>
    <row r="28" spans="2:11" ht="14" x14ac:dyDescent="0.15">
      <c r="B28" s="1067"/>
      <c r="C28" s="1068"/>
      <c r="D28" s="1063"/>
      <c r="E28" s="1069"/>
      <c r="F28" s="1070"/>
      <c r="G28" s="121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17"/>
      <c r="J40" s="1217"/>
      <c r="K40" s="121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8"/>
      <c r="D84" s="121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B6" sqref="B6"/>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1509</v>
      </c>
      <c r="C3" s="564" t="s">
        <v>1508</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35</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434</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HFC-134</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25</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1120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28</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462</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6" t="s">
        <v>442</v>
      </c>
      <c r="B80" s="1207"/>
      <c r="C80" s="1207"/>
      <c r="D80" s="1207"/>
      <c r="E80" s="120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0"/>
      <c r="F113" s="561"/>
      <c r="G113" s="561"/>
      <c r="H113" s="561"/>
    </row>
    <row r="114" spans="1:8" x14ac:dyDescent="0.2">
      <c r="A114" s="634" t="s">
        <v>451</v>
      </c>
      <c r="B114" s="632">
        <v>10000</v>
      </c>
      <c r="C114" s="633"/>
      <c r="D114" s="633"/>
      <c r="E114" s="1200"/>
    </row>
    <row r="115" spans="1:8" x14ac:dyDescent="0.2">
      <c r="A115" s="634" t="s">
        <v>452</v>
      </c>
      <c r="B115" s="632">
        <v>7370</v>
      </c>
      <c r="C115" s="633"/>
      <c r="D115" s="633"/>
      <c r="E115" s="1200"/>
    </row>
    <row r="116" spans="1:8" x14ac:dyDescent="0.2">
      <c r="A116" s="634" t="s">
        <v>453</v>
      </c>
      <c r="B116" s="632">
        <v>12200</v>
      </c>
      <c r="C116" s="633"/>
      <c r="D116" s="633"/>
      <c r="E116" s="1200"/>
    </row>
    <row r="117" spans="1:8" x14ac:dyDescent="0.2">
      <c r="A117" s="634" t="s">
        <v>454</v>
      </c>
      <c r="B117" s="632">
        <v>77</v>
      </c>
      <c r="C117" s="633"/>
      <c r="D117" s="633"/>
      <c r="E117" s="1200"/>
    </row>
    <row r="118" spans="1:8" x14ac:dyDescent="0.2">
      <c r="A118" s="634" t="s">
        <v>455</v>
      </c>
      <c r="B118" s="632">
        <v>609</v>
      </c>
      <c r="C118" s="633"/>
      <c r="D118" s="633"/>
      <c r="E118" s="1200"/>
    </row>
    <row r="119" spans="1:8" x14ac:dyDescent="0.2">
      <c r="A119" s="634" t="s">
        <v>456</v>
      </c>
      <c r="B119" s="632">
        <v>3500</v>
      </c>
      <c r="C119" s="633"/>
      <c r="D119" s="633"/>
      <c r="E119" s="1200"/>
    </row>
    <row r="120" spans="1:8" x14ac:dyDescent="0.2">
      <c r="A120" s="634" t="s">
        <v>457</v>
      </c>
      <c r="B120" s="632">
        <v>1430</v>
      </c>
      <c r="C120" s="633"/>
      <c r="D120" s="633"/>
      <c r="E120" s="1200"/>
    </row>
    <row r="121" spans="1:8" x14ac:dyDescent="0.2">
      <c r="A121" s="634" t="s">
        <v>458</v>
      </c>
      <c r="B121" s="632">
        <v>725</v>
      </c>
      <c r="C121" s="633"/>
      <c r="D121" s="633"/>
      <c r="E121" s="1200"/>
    </row>
    <row r="122" spans="1:8" x14ac:dyDescent="0.2">
      <c r="A122" s="634" t="s">
        <v>459</v>
      </c>
      <c r="B122" s="632">
        <v>2310</v>
      </c>
      <c r="C122" s="633"/>
      <c r="D122" s="633"/>
      <c r="E122" s="1200"/>
    </row>
    <row r="123" spans="1:8" x14ac:dyDescent="0.2">
      <c r="A123" s="634" t="s">
        <v>328</v>
      </c>
      <c r="B123" s="632">
        <v>4470</v>
      </c>
      <c r="C123" s="633"/>
      <c r="D123" s="633"/>
      <c r="E123" s="1200"/>
    </row>
    <row r="124" spans="1:8" x14ac:dyDescent="0.2">
      <c r="A124" s="634" t="s">
        <v>460</v>
      </c>
      <c r="B124" s="632">
        <v>124</v>
      </c>
      <c r="C124" s="633"/>
      <c r="D124" s="633"/>
      <c r="E124" s="1200"/>
    </row>
    <row r="125" spans="1:8" x14ac:dyDescent="0.2">
      <c r="A125" s="634" t="s">
        <v>461</v>
      </c>
      <c r="B125" s="632">
        <v>8830</v>
      </c>
      <c r="C125" s="633"/>
      <c r="D125" s="633"/>
      <c r="E125" s="1200"/>
    </row>
    <row r="126" spans="1:8" x14ac:dyDescent="0.2">
      <c r="A126" s="634" t="s">
        <v>462</v>
      </c>
      <c r="B126" s="632">
        <v>3220</v>
      </c>
      <c r="C126" s="633"/>
      <c r="D126" s="633"/>
      <c r="E126" s="1200"/>
    </row>
    <row r="127" spans="1:8" x14ac:dyDescent="0.2">
      <c r="A127" s="634" t="s">
        <v>463</v>
      </c>
      <c r="B127" s="632">
        <v>9810</v>
      </c>
      <c r="C127" s="633"/>
      <c r="D127" s="633"/>
      <c r="E127" s="1200"/>
    </row>
    <row r="128" spans="1:8" x14ac:dyDescent="0.2">
      <c r="A128" s="634" t="s">
        <v>464</v>
      </c>
      <c r="B128" s="632">
        <v>693</v>
      </c>
      <c r="C128" s="633"/>
      <c r="D128" s="633"/>
      <c r="E128" s="1200"/>
    </row>
    <row r="129" spans="1:5" x14ac:dyDescent="0.2">
      <c r="A129" s="634" t="s">
        <v>465</v>
      </c>
      <c r="B129" s="632">
        <v>1030</v>
      </c>
      <c r="C129" s="633"/>
      <c r="D129" s="633"/>
      <c r="E129" s="1200"/>
    </row>
    <row r="130" spans="1:5" x14ac:dyDescent="0.2">
      <c r="A130" s="634" t="s">
        <v>466</v>
      </c>
      <c r="B130" s="632">
        <v>10300</v>
      </c>
      <c r="C130" s="633"/>
      <c r="D130" s="633"/>
      <c r="E130" s="1200"/>
    </row>
    <row r="131" spans="1:5" x14ac:dyDescent="0.2">
      <c r="A131" s="634" t="s">
        <v>467</v>
      </c>
      <c r="B131" s="632">
        <v>1200</v>
      </c>
      <c r="C131" s="633"/>
      <c r="D131" s="633"/>
      <c r="E131" s="1200"/>
    </row>
    <row r="132" spans="1:5" x14ac:dyDescent="0.2">
      <c r="A132" s="634" t="s">
        <v>468</v>
      </c>
      <c r="B132" s="632">
        <v>1300</v>
      </c>
      <c r="C132" s="633"/>
      <c r="D132" s="633"/>
      <c r="E132" s="1200"/>
    </row>
    <row r="133" spans="1:5" x14ac:dyDescent="0.2">
      <c r="A133" s="634" t="s">
        <v>469</v>
      </c>
      <c r="B133" s="632">
        <v>930</v>
      </c>
      <c r="C133" s="633"/>
      <c r="D133" s="633"/>
      <c r="E133" s="1200"/>
    </row>
    <row r="134" spans="1:5" x14ac:dyDescent="0.2">
      <c r="A134" s="634" t="s">
        <v>470</v>
      </c>
      <c r="B134" s="632">
        <v>2800</v>
      </c>
      <c r="C134" s="633"/>
      <c r="D134" s="633"/>
      <c r="E134" s="1200"/>
    </row>
    <row r="135" spans="1:5" x14ac:dyDescent="0.2">
      <c r="A135" s="634" t="s">
        <v>471</v>
      </c>
      <c r="B135" s="632">
        <v>2400</v>
      </c>
      <c r="C135" s="633"/>
      <c r="D135" s="633"/>
      <c r="E135" s="1200"/>
    </row>
    <row r="136" spans="1:5" x14ac:dyDescent="0.2">
      <c r="A136" s="634" t="s">
        <v>472</v>
      </c>
      <c r="B136" s="632">
        <v>3100</v>
      </c>
      <c r="C136" s="633"/>
      <c r="D136" s="633"/>
      <c r="E136" s="1200"/>
    </row>
    <row r="137" spans="1:5" x14ac:dyDescent="0.2">
      <c r="A137" s="634" t="s">
        <v>473</v>
      </c>
      <c r="B137" s="632">
        <v>4500</v>
      </c>
      <c r="C137" s="633"/>
      <c r="D137" s="633"/>
      <c r="E137" s="1200"/>
    </row>
    <row r="138" spans="1:5" x14ac:dyDescent="0.2">
      <c r="A138" s="634" t="s">
        <v>474</v>
      </c>
      <c r="B138" s="632">
        <v>3900</v>
      </c>
      <c r="C138" s="633"/>
      <c r="D138" s="633"/>
      <c r="E138" s="1200"/>
    </row>
    <row r="139" spans="1:5" x14ac:dyDescent="0.2">
      <c r="A139" s="634" t="s">
        <v>475</v>
      </c>
      <c r="B139" s="632">
        <v>5300</v>
      </c>
      <c r="C139" s="633"/>
      <c r="D139" s="633"/>
      <c r="E139" s="1200"/>
    </row>
    <row r="140" spans="1:5" x14ac:dyDescent="0.2">
      <c r="A140" s="634" t="s">
        <v>476</v>
      </c>
      <c r="B140" s="632">
        <v>1900</v>
      </c>
      <c r="C140" s="633"/>
      <c r="D140" s="633"/>
      <c r="E140" s="1200"/>
    </row>
    <row r="141" spans="1:5" x14ac:dyDescent="0.2">
      <c r="A141" s="634" t="s">
        <v>477</v>
      </c>
      <c r="B141" s="632">
        <v>2100</v>
      </c>
      <c r="C141" s="633"/>
      <c r="D141" s="633"/>
      <c r="E141" s="1200"/>
    </row>
    <row r="142" spans="1:5" x14ac:dyDescent="0.2">
      <c r="A142" s="634" t="s">
        <v>478</v>
      </c>
      <c r="B142" s="632">
        <v>2800</v>
      </c>
      <c r="C142" s="633"/>
      <c r="D142" s="633"/>
      <c r="E142" s="1200"/>
    </row>
    <row r="143" spans="1:5" x14ac:dyDescent="0.2">
      <c r="A143" s="634" t="s">
        <v>479</v>
      </c>
      <c r="B143" s="632">
        <v>1800</v>
      </c>
      <c r="C143" s="633"/>
      <c r="D143" s="633"/>
      <c r="E143" s="1200"/>
    </row>
    <row r="144" spans="1:5" x14ac:dyDescent="0.2">
      <c r="A144" s="634" t="s">
        <v>480</v>
      </c>
      <c r="B144" s="632">
        <v>1600</v>
      </c>
      <c r="C144" s="633"/>
      <c r="D144" s="633"/>
      <c r="E144" s="1200"/>
    </row>
    <row r="145" spans="1:5" x14ac:dyDescent="0.2">
      <c r="A145" s="634" t="s">
        <v>481</v>
      </c>
      <c r="B145" s="632">
        <v>1600</v>
      </c>
      <c r="C145" s="633"/>
      <c r="D145" s="633"/>
      <c r="E145" s="1200"/>
    </row>
    <row r="146" spans="1:5" x14ac:dyDescent="0.2">
      <c r="A146" s="634" t="s">
        <v>482</v>
      </c>
      <c r="B146" s="632">
        <v>3200</v>
      </c>
      <c r="C146" s="633"/>
      <c r="D146" s="633"/>
      <c r="E146" s="1200"/>
    </row>
    <row r="147" spans="1:5" x14ac:dyDescent="0.2">
      <c r="A147" s="634" t="s">
        <v>483</v>
      </c>
      <c r="B147" s="632">
        <v>1600</v>
      </c>
      <c r="C147" s="633"/>
      <c r="D147" s="633"/>
      <c r="E147" s="1200"/>
    </row>
    <row r="148" spans="1:5" x14ac:dyDescent="0.2">
      <c r="A148" s="634" t="s">
        <v>484</v>
      </c>
      <c r="B148" s="632">
        <v>1600</v>
      </c>
      <c r="C148" s="633"/>
      <c r="D148" s="633"/>
      <c r="E148" s="1200"/>
    </row>
    <row r="149" spans="1:5" x14ac:dyDescent="0.2">
      <c r="A149" s="634" t="s">
        <v>485</v>
      </c>
      <c r="B149" s="632">
        <v>2100</v>
      </c>
      <c r="C149" s="633"/>
      <c r="D149" s="633"/>
      <c r="E149" s="1200"/>
    </row>
    <row r="150" spans="1:5" x14ac:dyDescent="0.2">
      <c r="A150" s="634" t="s">
        <v>486</v>
      </c>
      <c r="B150" s="632">
        <v>1600</v>
      </c>
      <c r="C150" s="633"/>
      <c r="D150" s="633"/>
      <c r="E150" s="1200"/>
    </row>
    <row r="151" spans="1:5" x14ac:dyDescent="0.2">
      <c r="A151" s="634" t="s">
        <v>487</v>
      </c>
      <c r="B151" s="632">
        <v>1700</v>
      </c>
      <c r="C151" s="633"/>
      <c r="D151" s="633"/>
      <c r="E151" s="1200"/>
    </row>
    <row r="152" spans="1:5" x14ac:dyDescent="0.2">
      <c r="A152" s="634" t="s">
        <v>488</v>
      </c>
      <c r="B152" s="632">
        <v>2300</v>
      </c>
      <c r="C152" s="633"/>
      <c r="D152" s="633"/>
      <c r="E152" s="1200"/>
    </row>
    <row r="153" spans="1:5" x14ac:dyDescent="0.2">
      <c r="A153" s="634" t="s">
        <v>489</v>
      </c>
      <c r="B153" s="632">
        <v>2100</v>
      </c>
      <c r="C153" s="633"/>
      <c r="D153" s="633"/>
      <c r="E153" s="1200"/>
    </row>
    <row r="154" spans="1:5" x14ac:dyDescent="0.2">
      <c r="A154" s="634" t="s">
        <v>490</v>
      </c>
      <c r="B154" s="632">
        <v>1500</v>
      </c>
      <c r="C154" s="633"/>
      <c r="D154" s="633"/>
      <c r="E154" s="1200"/>
    </row>
    <row r="155" spans="1:5" x14ac:dyDescent="0.2">
      <c r="A155" s="634" t="s">
        <v>491</v>
      </c>
      <c r="B155" s="632">
        <v>1400</v>
      </c>
      <c r="C155" s="633"/>
      <c r="D155" s="633"/>
      <c r="E155" s="1200"/>
    </row>
    <row r="156" spans="1:5" x14ac:dyDescent="0.2">
      <c r="A156" s="634" t="s">
        <v>492</v>
      </c>
      <c r="B156" s="632">
        <v>1500</v>
      </c>
      <c r="C156" s="633"/>
      <c r="D156" s="633"/>
      <c r="E156" s="1200"/>
    </row>
    <row r="157" spans="1:5" x14ac:dyDescent="0.2">
      <c r="A157" s="634" t="s">
        <v>493</v>
      </c>
      <c r="B157" s="632">
        <v>550</v>
      </c>
      <c r="C157" s="633"/>
      <c r="D157" s="633"/>
      <c r="E157" s="1200"/>
    </row>
    <row r="158" spans="1:5" x14ac:dyDescent="0.2">
      <c r="A158" s="634" t="s">
        <v>494</v>
      </c>
      <c r="B158" s="632">
        <v>1100</v>
      </c>
      <c r="C158" s="633"/>
      <c r="D158" s="633"/>
      <c r="E158" s="1200"/>
    </row>
    <row r="159" spans="1:5" x14ac:dyDescent="0.2">
      <c r="A159" s="634" t="s">
        <v>495</v>
      </c>
      <c r="B159" s="632">
        <v>2300</v>
      </c>
      <c r="C159" s="633"/>
      <c r="D159" s="633"/>
      <c r="E159" s="1200"/>
    </row>
    <row r="160" spans="1:5" x14ac:dyDescent="0.2">
      <c r="A160" s="634" t="s">
        <v>496</v>
      </c>
      <c r="B160" s="632">
        <v>1700</v>
      </c>
      <c r="C160" s="633"/>
      <c r="D160" s="633"/>
      <c r="E160" s="1200"/>
    </row>
    <row r="161" spans="1:5" x14ac:dyDescent="0.2">
      <c r="A161" s="634" t="s">
        <v>497</v>
      </c>
      <c r="B161" s="632">
        <v>3000</v>
      </c>
      <c r="C161" s="633"/>
      <c r="D161" s="633"/>
      <c r="E161" s="1200"/>
    </row>
    <row r="162" spans="1:5" x14ac:dyDescent="0.2">
      <c r="A162" s="634" t="s">
        <v>498</v>
      </c>
      <c r="B162" s="632">
        <v>1500</v>
      </c>
      <c r="C162" s="633"/>
      <c r="D162" s="633"/>
      <c r="E162" s="1200"/>
    </row>
    <row r="163" spans="1:5" x14ac:dyDescent="0.2">
      <c r="A163" s="634" t="s">
        <v>499</v>
      </c>
      <c r="B163" s="632">
        <v>2600</v>
      </c>
      <c r="C163" s="633"/>
      <c r="D163" s="633"/>
      <c r="E163" s="1200"/>
    </row>
    <row r="164" spans="1:5" x14ac:dyDescent="0.2">
      <c r="A164" s="634" t="s">
        <v>500</v>
      </c>
      <c r="B164" s="632">
        <v>3200</v>
      </c>
      <c r="C164" s="633"/>
      <c r="D164" s="633"/>
      <c r="E164" s="1200"/>
    </row>
    <row r="165" spans="1:5" x14ac:dyDescent="0.2">
      <c r="A165" s="634" t="s">
        <v>501</v>
      </c>
      <c r="B165" s="632">
        <v>3100</v>
      </c>
      <c r="C165" s="633"/>
      <c r="D165" s="633"/>
      <c r="E165" s="1200"/>
    </row>
    <row r="166" spans="1:5" x14ac:dyDescent="0.2">
      <c r="A166" s="634" t="s">
        <v>502</v>
      </c>
      <c r="B166" s="632">
        <v>2500</v>
      </c>
      <c r="C166" s="633"/>
      <c r="D166" s="633"/>
      <c r="E166" s="1200"/>
    </row>
    <row r="167" spans="1:5" x14ac:dyDescent="0.2">
      <c r="A167" s="634" t="s">
        <v>503</v>
      </c>
      <c r="B167" s="632">
        <v>3100</v>
      </c>
      <c r="C167" s="633"/>
      <c r="D167" s="633"/>
      <c r="E167" s="1200"/>
    </row>
    <row r="168" spans="1:5" x14ac:dyDescent="0.2">
      <c r="A168" s="634" t="s">
        <v>504</v>
      </c>
      <c r="B168" s="632">
        <v>2700</v>
      </c>
      <c r="C168" s="633"/>
      <c r="D168" s="633"/>
      <c r="E168" s="1200"/>
    </row>
    <row r="169" spans="1:5" x14ac:dyDescent="0.2">
      <c r="A169" s="634" t="s">
        <v>505</v>
      </c>
      <c r="B169" s="632">
        <v>2300</v>
      </c>
      <c r="C169" s="633"/>
      <c r="D169" s="633"/>
      <c r="E169" s="1200"/>
    </row>
    <row r="170" spans="1:5" x14ac:dyDescent="0.2">
      <c r="A170" s="634" t="s">
        <v>506</v>
      </c>
      <c r="B170" s="632">
        <v>2400</v>
      </c>
      <c r="C170" s="633"/>
      <c r="D170" s="633"/>
      <c r="E170" s="1200"/>
    </row>
    <row r="171" spans="1:5" x14ac:dyDescent="0.2">
      <c r="A171" s="634" t="s">
        <v>507</v>
      </c>
      <c r="B171" s="632">
        <v>1500</v>
      </c>
      <c r="C171" s="633"/>
      <c r="D171" s="633"/>
      <c r="E171" s="1200"/>
    </row>
    <row r="172" spans="1:5" x14ac:dyDescent="0.2">
      <c r="A172" s="634" t="s">
        <v>508</v>
      </c>
      <c r="B172" s="632">
        <v>1500</v>
      </c>
      <c r="C172" s="633"/>
      <c r="D172" s="633"/>
      <c r="E172" s="1200"/>
    </row>
    <row r="173" spans="1:5" x14ac:dyDescent="0.2">
      <c r="A173" s="634" t="s">
        <v>509</v>
      </c>
      <c r="B173" s="632">
        <v>2100</v>
      </c>
      <c r="C173" s="633"/>
      <c r="D173" s="633" t="s">
        <v>264</v>
      </c>
      <c r="E173" s="1200"/>
    </row>
    <row r="174" spans="1:5" x14ac:dyDescent="0.2">
      <c r="A174" s="634" t="s">
        <v>510</v>
      </c>
      <c r="B174" s="632">
        <v>3600</v>
      </c>
      <c r="C174" s="633"/>
      <c r="D174" s="633"/>
      <c r="E174" s="1200"/>
    </row>
    <row r="175" spans="1:5" x14ac:dyDescent="0.2">
      <c r="A175" s="634" t="s">
        <v>511</v>
      </c>
      <c r="B175" s="632">
        <v>8100</v>
      </c>
      <c r="C175" s="633"/>
      <c r="D175" s="633"/>
      <c r="E175" s="1200"/>
    </row>
    <row r="176" spans="1:5" x14ac:dyDescent="0.2">
      <c r="A176" s="634" t="s">
        <v>512</v>
      </c>
      <c r="B176" s="632">
        <v>4700</v>
      </c>
      <c r="C176" s="633"/>
      <c r="D176" s="633"/>
      <c r="E176" s="1200"/>
    </row>
    <row r="177" spans="1:5" x14ac:dyDescent="0.2">
      <c r="A177" s="634" t="s">
        <v>513</v>
      </c>
      <c r="B177" s="632">
        <v>15000</v>
      </c>
      <c r="C177" s="633"/>
      <c r="D177" s="633"/>
      <c r="E177" s="1200"/>
    </row>
    <row r="178" spans="1:5" x14ac:dyDescent="0.2">
      <c r="A178" s="634" t="s">
        <v>514</v>
      </c>
      <c r="B178" s="632">
        <v>4000</v>
      </c>
      <c r="C178" s="633"/>
      <c r="D178" s="633"/>
      <c r="E178" s="1200"/>
    </row>
    <row r="179" spans="1:5" x14ac:dyDescent="0.2">
      <c r="A179" s="634" t="s">
        <v>515</v>
      </c>
      <c r="B179" s="632">
        <v>13000</v>
      </c>
      <c r="C179" s="633"/>
      <c r="D179" s="633"/>
      <c r="E179" s="1200"/>
    </row>
    <row r="180" spans="1:5" x14ac:dyDescent="0.2">
      <c r="A180" s="634" t="s">
        <v>516</v>
      </c>
      <c r="B180" s="632">
        <v>13000</v>
      </c>
      <c r="C180" s="633"/>
      <c r="D180" s="633"/>
      <c r="E180" s="1200"/>
    </row>
    <row r="181" spans="1:5" x14ac:dyDescent="0.2">
      <c r="A181" s="635" t="s">
        <v>517</v>
      </c>
      <c r="B181" s="636">
        <v>5700</v>
      </c>
      <c r="C181" s="633"/>
      <c r="D181" s="633"/>
      <c r="E181" s="1201"/>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9" t="s">
        <v>683</v>
      </c>
      <c r="B2" s="1220"/>
      <c r="D2" s="1221" t="s">
        <v>684</v>
      </c>
      <c r="E2" s="1222"/>
      <c r="F2" s="1223"/>
      <c r="H2" s="1152" t="s">
        <v>685</v>
      </c>
      <c r="I2" s="1153"/>
      <c r="J2" s="879"/>
      <c r="P2" s="875" t="s">
        <v>686</v>
      </c>
      <c r="Q2" s="876"/>
      <c r="R2" s="876"/>
      <c r="S2" s="876"/>
      <c r="T2" s="877"/>
      <c r="V2" s="1219" t="s">
        <v>683</v>
      </c>
      <c r="W2" s="1220"/>
      <c r="Y2" s="1221" t="s">
        <v>684</v>
      </c>
      <c r="Z2" s="1222"/>
      <c r="AA2" s="1223"/>
      <c r="AC2" s="874" t="s">
        <v>685</v>
      </c>
      <c r="AK2" s="875" t="s">
        <v>686</v>
      </c>
      <c r="AL2" s="876"/>
      <c r="AM2" s="876"/>
      <c r="AN2" s="876"/>
      <c r="AO2" s="877"/>
      <c r="AQ2" s="1219" t="s">
        <v>683</v>
      </c>
      <c r="AR2" s="1220"/>
      <c r="AT2" s="1221" t="s">
        <v>684</v>
      </c>
      <c r="AU2" s="1222"/>
      <c r="AV2" s="1223"/>
      <c r="AX2" s="874" t="s">
        <v>685</v>
      </c>
      <c r="BF2" s="875" t="s">
        <v>686</v>
      </c>
      <c r="BG2" s="876"/>
      <c r="BH2" s="876"/>
      <c r="BI2" s="876"/>
      <c r="BJ2" s="877"/>
      <c r="BL2" s="1219" t="s">
        <v>683</v>
      </c>
      <c r="BM2" s="1220"/>
      <c r="BO2" s="1221" t="s">
        <v>684</v>
      </c>
      <c r="BP2" s="1222"/>
      <c r="BQ2" s="1223"/>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1490</v>
      </c>
      <c r="C4" s="82" t="s">
        <v>1489</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B10" sqref="B10"/>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1497</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1497</v>
      </c>
      <c r="C3" s="90"/>
      <c r="D3" s="93"/>
      <c r="E3" s="94"/>
      <c r="F3" s="189"/>
      <c r="G3" s="19" t="s">
        <v>4</v>
      </c>
      <c r="H3" s="184">
        <f>B5+B6+B7</f>
        <v>0.39133263000000001</v>
      </c>
      <c r="I3" s="184">
        <f t="shared" ref="I3:I13" si="0">H3/$H$15</f>
        <v>2.4167062025474045E-4</v>
      </c>
      <c r="J3" s="184"/>
      <c r="K3" s="191"/>
      <c r="L3" s="20"/>
      <c r="M3" s="189"/>
      <c r="V3" s="170"/>
      <c r="AC3" s="16"/>
      <c r="AD3" s="16"/>
      <c r="AE3" s="16"/>
      <c r="AF3" s="16"/>
      <c r="AG3" s="16"/>
      <c r="AH3" s="16"/>
      <c r="AI3" s="16"/>
      <c r="AJ3" s="16"/>
      <c r="AK3" s="16"/>
      <c r="AL3" s="16"/>
    </row>
    <row r="4" spans="1:38" ht="16" customHeight="1" x14ac:dyDescent="0.25">
      <c r="A4" s="17" t="s">
        <v>1496</v>
      </c>
      <c r="B4" s="126"/>
      <c r="C4" s="381"/>
      <c r="D4" s="95" t="s">
        <v>5</v>
      </c>
      <c r="E4" s="694">
        <f>B5+B8+B9</f>
        <v>2.2051216431312493</v>
      </c>
      <c r="F4" s="189"/>
      <c r="G4" s="19" t="s">
        <v>6</v>
      </c>
      <c r="H4" s="184">
        <f>B23</f>
        <v>0.1096163</v>
      </c>
      <c r="I4" s="184">
        <f t="shared" si="0"/>
        <v>6.7694429700456375E-5</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0.36512700000000003</v>
      </c>
      <c r="C5" s="382" t="s">
        <v>140</v>
      </c>
      <c r="D5" s="378" t="s">
        <v>8</v>
      </c>
      <c r="E5" s="694">
        <f>B6</f>
        <v>1.8452300000000001E-2</v>
      </c>
      <c r="F5" s="189"/>
      <c r="G5" s="19" t="s">
        <v>9</v>
      </c>
      <c r="H5" s="199">
        <f>B15</f>
        <v>5.0999999999999996</v>
      </c>
      <c r="I5" s="184">
        <f t="shared" si="0"/>
        <v>3.1495461119589651E-3</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1.8452300000000001E-2</v>
      </c>
      <c r="C6" s="383" t="s">
        <v>140</v>
      </c>
      <c r="D6" s="378" t="s">
        <v>11</v>
      </c>
      <c r="E6" s="694">
        <f>B7</f>
        <v>7.753330000000001E-3</v>
      </c>
      <c r="F6" s="189"/>
      <c r="G6" s="19" t="s">
        <v>12</v>
      </c>
      <c r="H6" s="199">
        <f>B22</f>
        <v>0.6</v>
      </c>
      <c r="I6" s="184">
        <f t="shared" si="0"/>
        <v>3.7053483670105469E-4</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7.753330000000001E-3</v>
      </c>
      <c r="C7" s="383" t="s">
        <v>140</v>
      </c>
      <c r="D7" s="379" t="s">
        <v>14</v>
      </c>
      <c r="E7" s="695">
        <f>B10+B11</f>
        <v>462</v>
      </c>
      <c r="F7" s="189"/>
      <c r="G7" s="19" t="s">
        <v>1504</v>
      </c>
      <c r="H7" s="184">
        <f>B20</f>
        <v>3.74</v>
      </c>
      <c r="I7" s="184">
        <f t="shared" si="0"/>
        <v>2.3096671487699079E-3</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-5.3568687508124611E-6</v>
      </c>
      <c r="C8" s="383" t="s">
        <v>140</v>
      </c>
      <c r="D8" s="995"/>
      <c r="E8" s="999"/>
      <c r="F8" s="189"/>
      <c r="G8" s="19" t="s">
        <v>1405</v>
      </c>
      <c r="H8" s="184">
        <f>B8</f>
        <v>-5.3568687508124611E-6</v>
      </c>
      <c r="I8" s="184">
        <f t="shared" si="0"/>
        <v>-3.3081774796854637E-9</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1.8399999999999999</v>
      </c>
      <c r="C9" s="383" t="s">
        <v>140</v>
      </c>
      <c r="D9" s="995"/>
      <c r="E9" s="999"/>
      <c r="F9" s="189"/>
      <c r="G9" s="19" t="s">
        <v>1406</v>
      </c>
      <c r="H9" s="184">
        <f>B9</f>
        <v>1.8399999999999999</v>
      </c>
      <c r="I9" s="184">
        <f t="shared" si="0"/>
        <v>1.1363068325499011E-3</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462</v>
      </c>
      <c r="C10" s="383" t="s">
        <v>140</v>
      </c>
      <c r="D10" s="172"/>
      <c r="E10" s="181"/>
      <c r="F10" s="189"/>
      <c r="G10" s="20" t="s">
        <v>1408</v>
      </c>
      <c r="H10" s="191">
        <f>E7</f>
        <v>462</v>
      </c>
      <c r="I10" s="184">
        <f t="shared" si="0"/>
        <v>0.28531182425981216</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160</v>
      </c>
      <c r="I11" s="184">
        <f t="shared" si="0"/>
        <v>9.8809289786947932E-2</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464.23132727313123</v>
      </c>
      <c r="C12" s="371" t="s">
        <v>140</v>
      </c>
      <c r="F12" s="189"/>
      <c r="G12" s="20" t="s">
        <v>1410</v>
      </c>
      <c r="H12" s="192">
        <f>B24</f>
        <v>606</v>
      </c>
      <c r="I12" s="184">
        <f t="shared" si="0"/>
        <v>0.37424018506806528</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379.5</v>
      </c>
      <c r="I13" s="184">
        <f t="shared" si="0"/>
        <v>0.23436328421341712</v>
      </c>
      <c r="J13" s="192"/>
      <c r="K13" s="191"/>
      <c r="L13" s="20"/>
      <c r="M13" s="189"/>
      <c r="V13" s="170"/>
      <c r="AC13" s="16"/>
      <c r="AD13" s="16"/>
      <c r="AE13" s="16"/>
      <c r="AF13" s="16"/>
      <c r="AG13" s="16"/>
      <c r="AH13" s="16"/>
      <c r="AI13" s="16"/>
      <c r="AJ13" s="16"/>
      <c r="AK13" s="16"/>
      <c r="AL13" s="16"/>
    </row>
    <row r="14" spans="1:38" ht="16" customHeight="1" x14ac:dyDescent="0.15">
      <c r="A14" s="22" t="s">
        <v>1498</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5.0999999999999996</v>
      </c>
      <c r="C15" s="163" t="s">
        <v>140</v>
      </c>
      <c r="F15" s="189"/>
      <c r="G15" s="1001" t="s">
        <v>2</v>
      </c>
      <c r="H15" s="1002">
        <f>SUM(H3:H13)</f>
        <v>1619.2809435731313</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5.0999999999999996</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1499</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3.74</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0.6</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0.1096163</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606</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1502</v>
      </c>
      <c r="B25" s="647">
        <f>'Transport and fuel'!$AA$57</f>
        <v>219.5</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1500</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1503</v>
      </c>
      <c r="B27" s="647">
        <f>'Transport and fuel'!$AA$46</f>
        <v>2058.75</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160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3048.6996162999999</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1501</v>
      </c>
      <c r="B34" s="652">
        <f>B12+B16+B29-B32</f>
        <v>3518.030943573131</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586.33849059552188</v>
      </c>
      <c r="C36" s="1006" t="s">
        <v>1414</v>
      </c>
      <c r="AA36" s="170"/>
      <c r="AF36" s="19"/>
      <c r="AH36" s="16"/>
      <c r="AI36" s="16"/>
      <c r="AJ36" s="16"/>
      <c r="AK36" s="16"/>
      <c r="AL36" s="16"/>
    </row>
    <row r="37" spans="1:38" ht="16" customHeight="1" x14ac:dyDescent="0.15">
      <c r="A37" s="547" t="s">
        <v>24</v>
      </c>
      <c r="B37" s="1007">
        <f>IFERROR((B34+B32)*1000/(SUM('Input - Farm'!C11, 'Input - Farm'!C38)),"")</f>
        <v>586.33849059552188</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B21" sqref="B21"/>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opLeftCell="B1" zoomScale="110" zoomScaleNormal="110" workbookViewId="0">
      <selection activeCell="G26" sqref="G26"/>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1505</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1510</v>
      </c>
      <c r="D10" s="289" t="s">
        <v>245</v>
      </c>
      <c r="E10" s="394"/>
      <c r="F10" s="282"/>
      <c r="G10" s="1009"/>
      <c r="H10" s="282"/>
    </row>
    <row r="11" spans="2:10" ht="20" customHeight="1" x14ac:dyDescent="0.15">
      <c r="B11" s="1010" t="s">
        <v>1493</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1494</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35</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159</v>
      </c>
      <c r="D19" s="289" t="s">
        <v>245</v>
      </c>
      <c r="E19" s="283">
        <v>25</v>
      </c>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2</v>
      </c>
      <c r="D26" s="292">
        <v>3</v>
      </c>
      <c r="E26" s="292"/>
      <c r="F26" s="292"/>
      <c r="G26" s="1021">
        <v>3</v>
      </c>
      <c r="H26" s="282" t="s">
        <v>1432</v>
      </c>
      <c r="I26" s="368"/>
    </row>
    <row r="27" spans="2:14" ht="20.25" customHeight="1" x14ac:dyDescent="0.15">
      <c r="B27" s="353" t="s">
        <v>1433</v>
      </c>
      <c r="C27" s="278" t="s">
        <v>1434</v>
      </c>
      <c r="D27" s="278" t="s">
        <v>1436</v>
      </c>
      <c r="E27" s="278"/>
      <c r="F27" s="278"/>
      <c r="G27" s="292" t="s">
        <v>1437</v>
      </c>
      <c r="H27" s="289" t="s">
        <v>245</v>
      </c>
      <c r="I27" s="368"/>
      <c r="M27" s="369"/>
      <c r="N27" s="369"/>
    </row>
    <row r="28" spans="2:14" ht="20.25" customHeight="1" x14ac:dyDescent="0.15">
      <c r="B28" s="1022" t="s">
        <v>1438</v>
      </c>
      <c r="C28" s="1023">
        <v>0.1</v>
      </c>
      <c r="D28" s="1023">
        <v>0.25</v>
      </c>
      <c r="E28" s="1023"/>
      <c r="F28" s="643"/>
      <c r="G28" s="1024" t="s">
        <v>247</v>
      </c>
      <c r="H28" s="282" t="s">
        <v>248</v>
      </c>
      <c r="I28" s="368"/>
    </row>
    <row r="29" spans="2:14" ht="20.25" customHeight="1" x14ac:dyDescent="0.15">
      <c r="B29" s="1022" t="s">
        <v>1439</v>
      </c>
      <c r="C29" s="1025">
        <v>0</v>
      </c>
      <c r="D29" s="1025">
        <f>IFERROR(VLOOKUP(D27,'Fishery Sector'!$B$19:$C$25, 2, FALSE), 0)</f>
        <v>0.5</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1506</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1513</v>
      </c>
      <c r="D37" s="289" t="s">
        <v>245</v>
      </c>
      <c r="E37" s="394"/>
      <c r="F37" s="282"/>
      <c r="G37" s="1009"/>
      <c r="H37" s="282"/>
    </row>
    <row r="38" spans="2:16" ht="24" customHeight="1" x14ac:dyDescent="0.15">
      <c r="B38" s="1010" t="s">
        <v>1493</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1494</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topLeftCell="A55" zoomScale="120" zoomScaleNormal="120" workbookViewId="0">
      <selection activeCell="C26" sqref="C26"/>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1522</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v>10000</v>
      </c>
      <c r="D9" s="745">
        <f>J9-(J9*J10)</f>
        <v>1507.5</v>
      </c>
      <c r="E9" s="289" t="s">
        <v>585</v>
      </c>
      <c r="F9" s="733">
        <f>IF($C$6="Calculate values",D9,C9)</f>
        <v>10000</v>
      </c>
      <c r="G9" s="291"/>
      <c r="H9" s="735" t="s">
        <v>1388</v>
      </c>
      <c r="I9" s="735"/>
      <c r="J9" s="1161">
        <v>2250</v>
      </c>
      <c r="K9" s="735" t="s">
        <v>585</v>
      </c>
    </row>
    <row r="10" spans="2:15" ht="28" customHeight="1" x14ac:dyDescent="0.2">
      <c r="B10" s="353" t="s">
        <v>1389</v>
      </c>
      <c r="C10" s="1172">
        <v>2000</v>
      </c>
      <c r="D10" s="745">
        <f>J9*J10</f>
        <v>742.5</v>
      </c>
      <c r="E10" s="289" t="s">
        <v>585</v>
      </c>
      <c r="F10" s="733">
        <f>IF($C$6="Calculate values",D10,C10)</f>
        <v>2000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1521</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1528</v>
      </c>
      <c r="C15" s="728" t="s">
        <v>1491</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v>10</v>
      </c>
      <c r="D20" s="745">
        <f t="shared" ref="D20:D28" si="1">SUMIF($K$18:$K$21,B20, $O$18:$O$21)</f>
        <v>1600</v>
      </c>
      <c r="E20" s="766" t="str">
        <f>VLOOKUP(B20,'Transport and fuel'!$S$94:$T$111,2,FALSE)&amp;"/year"</f>
        <v>litres/year</v>
      </c>
      <c r="F20" s="733">
        <f>IF($C$17="Calculate values",D20,C20)*IF($C$15="Yes",1,0)</f>
        <v>10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v>20</v>
      </c>
      <c r="D22" s="745">
        <f t="shared" si="1"/>
        <v>0</v>
      </c>
      <c r="E22" s="766" t="str">
        <f>VLOOKUP(B22,'Transport and fuel'!$S$94:$T$111,2,FALSE)&amp;"/year"</f>
        <v>litres/year</v>
      </c>
      <c r="F22" s="733">
        <f t="shared" si="2"/>
        <v>20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v>30</v>
      </c>
      <c r="D26" s="745">
        <f t="shared" si="1"/>
        <v>0</v>
      </c>
      <c r="E26" s="766" t="str">
        <f>VLOOKUP(B26,'Transport and fuel'!$S$94:$T$111,2,FALSE)&amp;"/year"</f>
        <v>litres/year</v>
      </c>
      <c r="F26" s="733">
        <f t="shared" si="2"/>
        <v>30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v>111</v>
      </c>
      <c r="D28" s="745">
        <f t="shared" si="1"/>
        <v>0</v>
      </c>
      <c r="E28" s="766" t="str">
        <f>VLOOKUP(B28,'Transport and fuel'!$S$94:$T$111,2,FALSE)&amp;"/year"</f>
        <v>Mj/year</v>
      </c>
      <c r="F28" s="733">
        <f t="shared" si="2"/>
        <v>111</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1523</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1491</v>
      </c>
      <c r="D32" s="736" t="s">
        <v>245</v>
      </c>
      <c r="E32" s="736"/>
      <c r="F32" s="736"/>
      <c r="G32" s="447"/>
      <c r="H32" s="434" t="s">
        <v>626</v>
      </c>
      <c r="I32" s="433"/>
      <c r="J32" s="433"/>
      <c r="K32" s="433"/>
      <c r="L32" s="433"/>
      <c r="M32" s="433"/>
      <c r="N32" s="433"/>
      <c r="O32" s="433"/>
      <c r="P32" s="446"/>
    </row>
    <row r="33" spans="2:18" ht="14" customHeight="1" x14ac:dyDescent="0.2">
      <c r="B33" s="736" t="s">
        <v>1529</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1487</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v>40</v>
      </c>
      <c r="D39" s="745">
        <f t="shared" si="6"/>
        <v>0</v>
      </c>
      <c r="E39" s="766" t="str">
        <f>VLOOKUP(B39,'Transport and fuel'!$S$94:$T$111,2,FALSE)&amp;"/year"</f>
        <v>litres/year</v>
      </c>
      <c r="F39" s="733">
        <f t="shared" si="4"/>
        <v>40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1524</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v>50</v>
      </c>
      <c r="D44" s="745">
        <f t="shared" si="6"/>
        <v>0</v>
      </c>
      <c r="E44" s="766" t="str">
        <f>VLOOKUP(B44,'Transport and fuel'!$S$94:$T$111,2,FALSE)&amp;"/year"</f>
        <v>litres/year</v>
      </c>
      <c r="F44" s="733">
        <f t="shared" si="4"/>
        <v>50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1520</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1491</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v>60</v>
      </c>
      <c r="D55" s="745">
        <f>SUMIF($L$53:$L$56, B55, $Q$53:$Q$56)+SUMIF($K$61:$K$64, B55, $O$61:$O$64)</f>
        <v>400</v>
      </c>
      <c r="E55" s="766" t="str">
        <f>VLOOKUP(B55,'Transport and fuel'!$S$94:$T$111,2,FALSE)&amp;"/year"</f>
        <v>litres/year</v>
      </c>
      <c r="F55" s="717">
        <f t="shared" ref="F55:F63" si="8">IF($C$52="Calculate values",D55,C55)*IF($C$50="Yes",1,0)</f>
        <v>60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v>70</v>
      </c>
      <c r="D60" s="745">
        <f t="shared" si="9"/>
        <v>0</v>
      </c>
      <c r="E60" s="766" t="str">
        <f>VLOOKUP(B60,'Transport and fuel'!$S$94:$T$111,2,FALSE)&amp;"/year"</f>
        <v>litres/year</v>
      </c>
      <c r="F60" s="717">
        <f t="shared" si="8"/>
        <v>70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1519</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1491</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v>80</v>
      </c>
      <c r="D76" s="745">
        <f t="shared" si="13"/>
        <v>0</v>
      </c>
      <c r="E76" s="766" t="str">
        <f>VLOOKUP(B76,'Transport and fuel'!$S$94:$T$111,2,FALSE)&amp;"/year"</f>
        <v>litres/year</v>
      </c>
      <c r="F76" s="716">
        <f>IF($C$70="Calculate values",D76,C76)*IF($C$68="Yes",1,0)</f>
        <v>80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tabSelected="1" zoomScaleNormal="100" workbookViewId="0">
      <selection activeCell="C12" sqref="C12"/>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1491</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3</v>
      </c>
      <c r="D7" s="736" t="s">
        <v>614</v>
      </c>
      <c r="E7" s="733">
        <f>IF($C$5="Yes", C7, 0)</f>
        <v>3</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224">
        <v>0.123</v>
      </c>
      <c r="D10" s="736" t="s">
        <v>335</v>
      </c>
      <c r="E10" s="733">
        <f t="shared" ref="E10:E12" si="0">IF($C$5="Yes", C10, 0)</f>
        <v>0.123</v>
      </c>
      <c r="F10" s="736"/>
      <c r="G10" s="736"/>
      <c r="H10" s="736"/>
      <c r="I10" s="368"/>
    </row>
    <row r="11" spans="2:10" ht="28" customHeight="1" x14ac:dyDescent="0.15">
      <c r="B11" s="736" t="s">
        <v>337</v>
      </c>
      <c r="C11" s="1224">
        <v>0.45600000000000002</v>
      </c>
      <c r="D11" s="736" t="s">
        <v>335</v>
      </c>
      <c r="E11" s="733">
        <f t="shared" si="0"/>
        <v>0.45600000000000002</v>
      </c>
      <c r="F11" s="736"/>
      <c r="G11" s="736"/>
      <c r="H11" s="736"/>
      <c r="I11" s="368"/>
    </row>
    <row r="12" spans="2:10" ht="28" customHeight="1" x14ac:dyDescent="0.15">
      <c r="B12" s="736" t="s">
        <v>339</v>
      </c>
      <c r="C12" s="1173">
        <v>0.1</v>
      </c>
      <c r="D12" s="736" t="s">
        <v>54</v>
      </c>
      <c r="E12" s="733">
        <f t="shared" si="0"/>
        <v>0.1</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1491</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100</v>
      </c>
      <c r="F19" s="736"/>
      <c r="G19" s="736"/>
      <c r="H19" s="736"/>
      <c r="I19" s="368"/>
    </row>
    <row r="20" spans="2:16" ht="30.75" customHeight="1" x14ac:dyDescent="0.15">
      <c r="B20" s="727" t="s">
        <v>1395</v>
      </c>
      <c r="C20" s="1166">
        <v>40</v>
      </c>
      <c r="D20" s="727" t="s">
        <v>343</v>
      </c>
      <c r="E20" s="733">
        <f>IF($C$17="Yes", C20, 0)</f>
        <v>40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1488</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workbookViewId="0">
      <selection activeCell="C38" sqref="C38"/>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1491</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v>2000</v>
      </c>
      <c r="D10" s="745">
        <f>SUMIF($J$8:$J$11, B10, $N$8:$N$11)</f>
        <v>0</v>
      </c>
      <c r="E10" s="396" t="s">
        <v>1481</v>
      </c>
      <c r="F10" s="716">
        <f t="shared" ref="F10:F15" si="0">IF($C$7="Calculate values",D10,C10)*IF($C$5="Yes",1,0)</f>
        <v>2000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v>3000</v>
      </c>
      <c r="D12" s="745">
        <f t="shared" si="1"/>
        <v>0</v>
      </c>
      <c r="E12" s="396" t="s">
        <v>1481</v>
      </c>
      <c r="F12" s="716">
        <f t="shared" si="0"/>
        <v>3000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1491</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v>4000</v>
      </c>
      <c r="D25" s="745">
        <f t="shared" ref="D25:D29" si="3">SUMIF($J$22:$J$25, B25, $N$22:$N$25)</f>
        <v>0</v>
      </c>
      <c r="E25" s="396" t="s">
        <v>1481</v>
      </c>
      <c r="F25" s="716">
        <f t="shared" si="2"/>
        <v>4000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v>5000</v>
      </c>
      <c r="D28" s="745">
        <f t="shared" si="3"/>
        <v>0</v>
      </c>
      <c r="E28" s="396" t="s">
        <v>1481</v>
      </c>
      <c r="F28" s="716">
        <f t="shared" si="2"/>
        <v>5000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1491</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v>6000</v>
      </c>
      <c r="D38" s="745">
        <f>SUM(L36:L39)</f>
        <v>16000</v>
      </c>
      <c r="E38" s="396" t="s">
        <v>263</v>
      </c>
      <c r="F38" s="716">
        <f>IF($C$35="Calculate values",D38,C38)*IF($C$33="Yes",1,0)</f>
        <v>6000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2025-11-24T03:06:38Z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